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1.xml.rels" ContentType="application/vnd.openxmlformats-package.relationships+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30.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31.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1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2.xml" ContentType="application/vnd.openxmlformats-officedocument.spreadsheetml.worksheet+xml"/>
  <Override PartName="/xl/worksheets/sheet19.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Guide" sheetId="2" state="visible" r:id="rId4"/>
    <sheet name="Checks" sheetId="3" state="visible" r:id="rId5"/>
    <sheet name="CFO_Report" sheetId="4" state="visible" r:id="rId6"/>
    <sheet name="KPIs" sheetId="5" state="visible" r:id="rId7"/>
    <sheet name="PL" sheetId="6" state="visible" r:id="rId8"/>
    <sheet name="BS" sheetId="7" state="visible" r:id="rId9"/>
    <sheet name="CF" sheetId="8" state="visible" r:id="rId10"/>
    <sheet name="BvA" sheetId="9" state="visible" r:id="rId11"/>
    <sheet name="Scenarios" sheetId="10" state="visible" r:id="rId12"/>
    <sheet name="Cash_13W" sheetId="11" state="visible" r:id="rId13"/>
    <sheet name="Revenue" sheetId="12" state="visible" r:id="rId14"/>
    <sheet name="Contracts" sheetId="13" state="visible" r:id="rId15"/>
    <sheet name="Service_Desk" sheetId="14" state="visible" r:id="rId16"/>
    <sheet name="Projects" sheetId="15" state="visible" r:id="rId17"/>
    <sheet name="Hardware" sheetId="16" state="visible" r:id="rId18"/>
    <sheet name="Licences" sheetId="17" state="visible" r:id="rId19"/>
    <sheet name="Rebates" sheetId="18" state="visible" r:id="rId20"/>
    <sheet name="Margins" sheetId="19" state="visible" r:id="rId21"/>
    <sheet name="People" sheetId="20" state="visible" r:id="rId22"/>
    <sheet name="Receivables" sheetId="21" state="visible" r:id="rId23"/>
    <sheet name="AR_Aging" sheetId="22" state="visible" r:id="rId24"/>
    <sheet name="AP_Aging" sheetId="23" state="visible" r:id="rId25"/>
    <sheet name="Payables" sheetId="24" state="visible" r:id="rId26"/>
    <sheet name="VAT" sheetId="25" state="visible" r:id="rId27"/>
    <sheet name="Tax" sheetId="26" state="visible" r:id="rId28"/>
    <sheet name="Overheads" sheetId="27" state="visible" r:id="rId29"/>
    <sheet name="Fixed_Assets" sheetId="28" state="visible" r:id="rId30"/>
    <sheet name="Financing" sheetId="29" state="visible" r:id="rId31"/>
    <sheet name="Contract_Register" sheetId="30" state="visible" r:id="rId32"/>
    <sheet name="Project_Register" sheetId="31" state="visible" r:id="rId33"/>
    <sheet name="Assumptions" sheetId="32" state="visible" r:id="rId34"/>
    <sheet name="Inputs_Actuals" sheetId="33" state="visible" r:id="rId35"/>
    <sheet name="History" sheetId="34" state="visible" r:id="rId36"/>
    <sheet name="Budget_FY26" sheetId="35" state="visible" r:id="rId3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<sst xmlns="http://schemas.openxmlformats.org/spreadsheetml/2006/main" count="4630" uniqueCount="2406">
  <si>
    <t xml:space="preserve">FINANCIAL MODEL AND MONTHLY REPORTING PACK</t>
  </si>
  <si>
    <t xml:space="preserve">IT services demonstration: managed IT services per user and device, projects, hardware and licence resale, sold from Porto to businesses in Portugal and Spain</t>
  </si>
  <si>
    <t xml:space="preserve">FICTIONAL DEMONSTRATION. Quelvora Sistemas, Lda does not exist. Every name, customer, contract, project, supplier, invoice and balance in this workbook was generated for demonstration purposes and does not describe any real company, customer or person. Tax, social security and filing rules reflect published Portuguese rules as at September 2026. Prepared by BriQs Group to show the structure, depth and controls of a monthly finance pack.</t>
  </si>
  <si>
    <t xml:space="preserve">Reporting month (last actual)</t>
  </si>
  <si>
    <t xml:space="preserve">Forecast horizon</t>
  </si>
  <si>
    <t xml:space="preserve">Currency</t>
  </si>
  <si>
    <t xml:space="preserve">EUR (the tooling vendor invoices in USD, converted at ECB rates)</t>
  </si>
  <si>
    <t xml:space="preserve">Model status (all integrity checks)</t>
  </si>
  <si>
    <t xml:space="preserve">FY2026 revenue, outlook</t>
  </si>
  <si>
    <t xml:space="preserve">FY2026 EBITDA, outlook</t>
  </si>
  <si>
    <t xml:space="preserve">Managed service fees (MRR), last actual month</t>
  </si>
  <si>
    <t xml:space="preserve">Cash at the last actual month</t>
  </si>
  <si>
    <t xml:space="preserve">13-week cash low point</t>
  </si>
  <si>
    <t xml:space="preserve">Prepared by</t>
  </si>
  <si>
    <t xml:space="preserve">BriQs Group, outsourced finance department and fractional CFO (ACCA-qualified accountant, ex Big Four accounting firms, Xero and QuickBooks Partner)</t>
  </si>
  <si>
    <t xml:space="preserve">CONTENTS</t>
  </si>
  <si>
    <t xml:space="preserve">What the sheet holds</t>
  </si>
  <si>
    <t xml:space="preserve">Type</t>
  </si>
  <si>
    <t xml:space="preserve">Cover</t>
  </si>
  <si>
    <t xml:space="preserve">This page</t>
  </si>
  <si>
    <t xml:space="preserve">Report</t>
  </si>
  <si>
    <t xml:space="preserve">Guide</t>
  </si>
  <si>
    <t xml:space="preserve">Model map, revenue recognition, service desk and SLA model, projects, rebates, Portuguese tax and payroll mechanics, conventions, month-end procedure, information still needed</t>
  </si>
  <si>
    <t xml:space="preserve">Checks</t>
  </si>
  <si>
    <t xml:space="preserve">Every integrity check with live status; overall status and business warnings</t>
  </si>
  <si>
    <t xml:space="preserve">Control</t>
  </si>
  <si>
    <t xml:space="preserve">CFO_Report</t>
  </si>
  <si>
    <t xml:space="preserve">Quantified findings, scored risks, actions with owners and dates</t>
  </si>
  <si>
    <t xml:space="preserve">KPIs</t>
  </si>
  <si>
    <t xml:space="preserve">Recurring revenue, retention, service desk and SLA, margins by service line, cash, debt and covenants by month, with charts</t>
  </si>
  <si>
    <t xml:space="preserve">PL</t>
  </si>
  <si>
    <t xml:space="preserve">Monthly P&amp;L: revenue by stream, cost of revenue, gross profit, EBITDA, tax</t>
  </si>
  <si>
    <t xml:space="preserve">Statement</t>
  </si>
  <si>
    <t xml:space="preserve">BS</t>
  </si>
  <si>
    <t xml:space="preserve">Monthly balance sheet with zero check</t>
  </si>
  <si>
    <t xml:space="preserve">CF</t>
  </si>
  <si>
    <t xml:space="preserve">Cash flow, indirect and direct, reconciled monthly</t>
  </si>
  <si>
    <t xml:space="preserve">BvA</t>
  </si>
  <si>
    <t xml:space="preserve">Budget vs actual YTD and full-year outlook; revenue variance by cause; EBITDA walk</t>
  </si>
  <si>
    <t xml:space="preserve">Analysis</t>
  </si>
  <si>
    <t xml:space="preserve">Scenarios</t>
  </si>
  <si>
    <t xml:space="preserve">Base, downside and upside with live selected column</t>
  </si>
  <si>
    <t xml:space="preserve">Cash_13W</t>
  </si>
  <si>
    <t xml:space="preserve">13-week direct cash forecast: payroll, social security, VAT, IRC and USD vendor dates, buffer control, reconciliation</t>
  </si>
  <si>
    <t xml:space="preserve">Revenue</t>
  </si>
  <si>
    <t xml:space="preserve">Revenue by stream and service line, recurring share, growth</t>
  </si>
  <si>
    <t xml:space="preserve">Contracts</t>
  </si>
  <si>
    <t xml:space="preserve">Managed service contracts and pipeline: users, devices, price index, fees, renewals, churn, retention, onboarding fees</t>
  </si>
  <si>
    <t xml:space="preserve">Schedule</t>
  </si>
  <si>
    <t xml:space="preserve">Service_Desk</t>
  </si>
  <si>
    <t xml:space="preserve">Tickets, hours by priority, proactive work, capacity, utilisation, SLA attainment, SLA credits</t>
  </si>
  <si>
    <t xml:space="preserve">Projects</t>
  </si>
  <si>
    <t xml:space="preserve">Projects: hours, progress, revenue over time, milestones, contract balances, onerous provision, new work, subcontractors</t>
  </si>
  <si>
    <t xml:space="preserve">Hardware</t>
  </si>
  <si>
    <t xml:space="preserve">Hardware resale as principal: revenue, margin, stock, purchases</t>
  </si>
  <si>
    <t xml:space="preserve">Licences</t>
  </si>
  <si>
    <t xml:space="preserve">Bundled licences (principal), annual licences billed ahead (principal, deferred), licences resold as agent (net)</t>
  </si>
  <si>
    <t xml:space="preserve">Rebates</t>
  </si>
  <si>
    <t xml:space="preserve">Distributor volume rebate by quarterly tier, licence vendor incentives, receivable</t>
  </si>
  <si>
    <t xml:space="preserve">Margins</t>
  </si>
  <si>
    <t xml:space="preserve">Gross margin by service line, reconciled to the P&amp;L</t>
  </si>
  <si>
    <t xml:space="preserve">People</t>
  </si>
  <si>
    <t xml:space="preserve">Headcount by band, Portuguese payroll with 14 salaries, TSU, IRS withholding, holiday and Christmas accruals, commissions</t>
  </si>
  <si>
    <t xml:space="preserve">Receivables</t>
  </si>
  <si>
    <t xml:space="preserve">Invoicing by country and stream, receivables in Portugal and Spain, the disputed J11 milestone</t>
  </si>
  <si>
    <t xml:space="preserve">AR_Aging</t>
  </si>
  <si>
    <t xml:space="preserve">Aged receivables tied to the ledger</t>
  </si>
  <si>
    <t xml:space="preserve">AP_Aging</t>
  </si>
  <si>
    <t xml:space="preserve">Aged payables tied to the Payables schedule</t>
  </si>
  <si>
    <t xml:space="preserve">Payables</t>
  </si>
  <si>
    <t xml:space="preserve">Hardware and licence distributors, USD tooling vendor with exchange differences, other suppliers</t>
  </si>
  <si>
    <t xml:space="preserve">VAT</t>
  </si>
  <si>
    <t xml:space="preserve">Monthly VAT return and payment calendar, cross-border memos</t>
  </si>
  <si>
    <t xml:space="preserve">Tax</t>
  </si>
  <si>
    <t xml:space="preserve">IRC, derrama, payments on account with the art. 107 option, balance and refund</t>
  </si>
  <si>
    <t xml:space="preserve">Overheads</t>
  </si>
  <si>
    <t xml:space="preserve">Overhead lines, delivery costs (tooling in USD, colocation, vans), rent with IRC withheld, direct debits</t>
  </si>
  <si>
    <t xml:space="preserve">Fixed_Assets</t>
  </si>
  <si>
    <t xml:space="preserve">IT equipment, office fit-out, customer relationships, goodwill</t>
  </si>
  <si>
    <t xml:space="preserve">Financing</t>
  </si>
  <si>
    <t xml:space="preserve">Term loan, covenants, dividends</t>
  </si>
  <si>
    <t xml:space="preserve">Contract_Register</t>
  </si>
  <si>
    <t xml:space="preserve">Managed service contracts and pipeline: terms, prices, probabilities, revenue and contribution by contract</t>
  </si>
  <si>
    <t xml:space="preserve">Inputs</t>
  </si>
  <si>
    <t xml:space="preserve">Project_Register</t>
  </si>
  <si>
    <t xml:space="preserve">Projects: fee or rate, dates, estimate at completion, progress, margin</t>
  </si>
  <si>
    <t xml:space="preserve">Assumptions</t>
  </si>
  <si>
    <t xml:space="preserve">Tax and social rates, pay bands, service desk and pricing rates, overheads, timeline and scenario drivers</t>
  </si>
  <si>
    <t xml:space="preserve">Inputs_Actuals</t>
  </si>
  <si>
    <t xml:space="preserve">Actual months and opening balances; the only place actual data is typed</t>
  </si>
  <si>
    <t xml:space="preserve">History</t>
  </si>
  <si>
    <t xml:space="preserve">FY2025 by month and managed service fees by contract</t>
  </si>
  <si>
    <t xml:space="preserve">Budget_FY26</t>
  </si>
  <si>
    <t xml:space="preserve">The original FY2026 budget, never overwritten</t>
  </si>
  <si>
    <t xml:space="preserve">COLOUR LEGEND</t>
  </si>
  <si>
    <t xml:space="preserve">Input (typed value)</t>
  </si>
  <si>
    <t xml:space="preserve">Formula (calculated)</t>
  </si>
  <si>
    <t xml:space="preserve">Link from another sheet</t>
  </si>
  <si>
    <t xml:space="preserve">Actual month (column header)</t>
  </si>
  <si>
    <t xml:space="preserve">Forecast month (row 5 flag F)</t>
  </si>
  <si>
    <t xml:space="preserve">MODEL GUIDE</t>
  </si>
  <si>
    <t xml:space="preserve">PURPOSE</t>
  </si>
  <si>
    <t xml:space="preserve">An integrated monthly finance pack for a founder-led managed IT services provider in Porto with customers in Portugal and Spain. It sells managed services per user and per device on 36-month contracts with SLA credits, projects (fixed fee and time and materials), hardware and licence resale, and annual security and backup subscriptions. It closes the month into a three-statement pack, runs every contract and project individually, measures service desk capacity against SLA performance, splits the gross margin by service line and by contract, accrues vendor rebates by tier, forecasts under three scenarios, projects cash week by week for 13 weeks against the board buffer, tests the bank covenants and reports to the board with quantified findings.</t>
  </si>
  <si>
    <t xml:space="preserve">Every number traces back: statement line to schedule, schedule to contract, project or input, input to the document that evidences it in a real close (billing system, RMM and PSA exports, timesheets, distributor and vendor statements, payroll journal, VAT return, Modelo 22, bank statements).</t>
  </si>
  <si>
    <t xml:space="preserve">HOW THE MODEL FLOWS</t>
  </si>
  <si>
    <t xml:space="preserve">1. Inputs_Actuals holds the actual months (users, devices and fees by contract, licences, tickets, SLA attainment and credits, hardware, rebates, project hours, revenue, billing and provisions, payroll by department, headcount by band, delivery costs and overheads, receipts and payments) and the opening balance sheet. History holds FY2025 by month and the fees by contract. The Contract_Register and Project_Register hold every contract, pipeline deal and project. Assumptions holds rates, bands, prices, the timeline and the scenario drivers.</t>
  </si>
  <si>
    <t xml:space="preserve">2. Contracts runs users, devices, the price index and fees for each contract, with renewals, churn, retention and onboarding fees. Service_Desk turns the contract base into tickets and hours against capacity and prices the SLA credits. Projects runs each project; Hardware, Licences and Rebates run resale and vendor rebates; Revenue consolidates. People runs Portuguese payroll by band.</t>
  </si>
  <si>
    <t xml:space="preserve">3. Receivables, Payables, VAT, Tax, Overheads, Fixed_Assets and Financing roll every cash flow and balance. PL, BS and CF link only to schedules; CF is built indirectly and reconciled every month to a direct build of the schedule cash lines.</t>
  </si>
  <si>
    <t xml:space="preserve">4. BvA, Scenarios, Cash_13W, KPIs, Margins, the agings and CFO_Report are reporting layers; Checks proves the structure holds.</t>
  </si>
  <si>
    <t xml:space="preserve">REVENUE RECOGNITION (IFRS 15)</t>
  </si>
  <si>
    <t xml:space="preserve">Managed services: a series of distinct monthly services (IFRS 15.22(b)); fees are revenue in the month the service is delivered, invoiced monthly in advance. SLA credits are variable consideration (IFRS 15.50 to 59): the credit for a month is estimated from the SLA attainment of that month, reduces revenue then and is deducted from the next invoice.</t>
  </si>
  <si>
    <t xml:space="preserve">Onboarding fees are not a distinct service (the customer gets nothing separately usable), so they are part of the contract price and are recognised over the 36-month term (IFRS 15.B48 to B51); the unrecognised balance is a contract liability, checked against a contract-by-contract schedule.</t>
  </si>
  <si>
    <t xml:space="preserve">Principal or agent (IFRS 15.B34 to B38): hardware is bought, held, configured and delivered by the company at its own price, so it is principal and recognised on delivery. Bundled per-user subscriptions are integrated into the managed service and supported by the company: principal (IFRS 15.B35A(b)). Annual security and backup subscriptions are bought in the company name and managed by it: principal, billed a year ahead and recognised over 12 months with the prepaid vendor cost. Standard licences the manufacturer delivers straight to the customer are never controlled by the company: agent, revenue is the net commission plus the vendor incentive (IFRIC agenda decision on software resellers, 2022).</t>
  </si>
  <si>
    <t xml:space="preserve">Projects: fixed-fee projects transfer control over time as the work is done on the customer systems (IFRS 15.35(b)), measured by hours to date over hours at completion (input method, IFRS 15.B18 to B19). A change in the estimate is a cumulative catch-up (IFRS 15.88): J01 posted a negative revenue month in June when its estimate rose. A loss-making contract carries a provision for the unavoidable loss at standard cost (IAS 37.66 to 69 and 68A), released as the work is done. Time-and-materials projects are hours x rate.</t>
  </si>
  <si>
    <t xml:space="preserve">Commissions: 6% of the first-year fees of a new contract is an incremental cost of obtaining a 36-month contract, so it is capitalised with its TSU and amortised over the term (IFRS 15.91 and 99). The practical expedient in IFRS 15.94 is not available because the amortisation period exceeds one year; with no commission paid on renewals the asset could also relate to expected renewals, and the model uses the initial term as the more prudent period. The 3% commission on hardware margin relates to hardware already delivered and is expensed.</t>
  </si>
  <si>
    <t xml:space="preserve">SERVICE DESK, SLA AND REBATES</t>
  </si>
  <si>
    <t xml:space="preserve">Demand hours = tickets (users and devices x rates x seasonality) x hours by priority + proactive work (devices and users x hours, part deferred in holiday months) + onboarding hours for new users. Capacity = service desk FTE x 126 productive hours x (1 - holiday share). SLA attainment holds at 98.5% up to 80% utilisation and falls 0.65 points per point above it (fitted to the FY2025 and FY2026 PSA data); below the 96% target the share of fees in breach rises over a 10-point band and earns a 5% credit.</t>
  </si>
  <si>
    <t xml:space="preserve">The hardware distributor rebate is tiered on quarterly purchases and applies to the whole quarter; it is accrued at the rate the full quarter is expected to earn and trued up in the quarter, and it reduces the cost of hardware (IAS 2.11). Licence vendor incentives reduce the licence cost, or add to the agent revenue on licences resold as agent.</t>
  </si>
  <si>
    <t xml:space="preserve">The USD tooling invoice is booked at the ECB average rate of its month and paid on the 15th of the next month at the rate of that month; the difference is a realised exchange gain or loss (IAS 21.28).</t>
  </si>
  <si>
    <t xml:space="preserve">PORTUGUESE TAX AND PAYROLL MECHANICS MODELLED</t>
  </si>
  <si>
    <t xml:space="preserve">VAT 23% on customers in Portugal (Código do IVA art. 18), due on invoicing. Services to Spanish businesses are taxed in Spain by the customer (CIVA art. 6(6)(a)) and reported on the recapitulative statement; hardware delivered to them is an exempt intra-EU supply (RITI art. 14). Services from the USD vendor are self-assessed. Monthly regime: return by the 20th and payment by the 25th of the second month after the month; the June and July returns are both filed and paid in September (Decreto-Lei 49/2025).</t>
  </si>
  <si>
    <t xml:space="preserve">IRC 19% for 2026 and 18% for 2027 (CIRC art. 87 as amended by Lei 64/2025), 15% on the first EUR 50,000 for an SME, plus the Porto derrama of 1.5%. Payments on account of 95% of the prior-year IRC in July, September and by 15 December (CIRC art. 104 and 105); the third may be limited when the payments made already cover the tax (art. 107). The FY2025 balance was paid with the Modelo 22 by 19 June 2026 under the extended deadline. IRC of 25% is withheld on rent paid to the landlord company and IRS of 28% on dividends paid to the resident shareholders.</t>
  </si>
  <si>
    <t xml:space="preserve">Payroll 2026: salaries paid 14 times (holiday allowance before the holidays, here in June; Christmas allowance by 15 December, here with the November payroll; Código do Trabalho art. 263 and 264). TSU 23.75% employer and 11% employee on salaries and allowances; IRS withheld with the 2026 Tabela I (Despacho n.º 233-A/2026); both paid by the 20th of the following month in 2026, from January 2027 in the new window from the 1st to the 25th (Decreto-Lei 127/2025). Meal allowance on card below the EUR 10.455 exempt limit. National minimum wage EUR 920 (Decreto-Lei 139/2025). Holiday pay and the holiday allowance for the year vest on 1 January for the work of the prior year and are accrued as the work is done (IAS 19).</t>
  </si>
  <si>
    <t xml:space="preserve">Invoicing: PDF invoices remain valid until 31 December 2026; from 1 January 2027 they need a qualified electronic signature or seal (Lei 73-A/2025). Invoice data goes to the tax authority by SAF-T PT monthly.</t>
  </si>
  <si>
    <t xml:space="preserve">CONVENTIONS</t>
  </si>
  <si>
    <t xml:space="preserve">Revenue and receipts positive; costs, payments and deductions negative on the P&amp;L and cash flow. Schedules show movements with their natural sign and a closing line.</t>
  </si>
  <si>
    <t xml:space="preserve">Blue on yellow = input; black = formula; green = link from another sheet. Columns C and D on monthly sheets are FY2026 and FY2027 totals (sum, average or closing balance as labelled).</t>
  </si>
  <si>
    <t xml:space="preserve">Row 5 of every monthly sheet flags A (actual) or F (forecast); formulas switch on it, so nothing is overwritten when a month becomes actual.</t>
  </si>
  <si>
    <t xml:space="preserve">Contract renewals and pipeline deals are expected values: users, devices, fees, onboarding and cash are scaled by the probability of the selected scenario.</t>
  </si>
  <si>
    <t xml:space="preserve">MONTH-END PROCEDURE (adding September as an actual month)</t>
  </si>
  <si>
    <t xml:space="preserve">1. Export the billing system (fees by contract, licences, onboarding, credit notes), the RMM counts of users and devices, the PSA tickets and SLA attainment, the timesheets and subcontractor invoices by project and the estimate at completion review, distributor and vendor statements (purchases, rebates, incentives), the payroll journal by department and headcount by band, overheads, capex, receipts and payments.</t>
  </si>
  <si>
    <t xml:space="preserve">2. Change the last actual month on Assumptions to Sep-26 and enter the September ECB average USD rate and the Euribor on the timeline. Flags, the agings, the 13-week opening and the year-to-date references follow.</t>
  </si>
  <si>
    <t xml:space="preserve">3. Update the registers: renewals, pipeline and probabilities on the Contract_Register; estimates at completion and planned dates on the Project_Register.</t>
  </si>
  <si>
    <t xml:space="preserve">4. Refresh the AR and AP agings from the ledger listings; the tie-out rows must return zero. Roll the 13-week window forward one month.</t>
  </si>
  <si>
    <t xml:space="preserve">5. Refresh the scenario snapshots, reread Checks until the overall status is OK, then rewrite the CFO report findings against the new numbers.</t>
  </si>
  <si>
    <t xml:space="preserve">SCENARIO REFRESH</t>
  </si>
  <si>
    <t xml:space="preserve">Set the scenario selector on Assumptions to 1 (Base), 2 (Downside) and 3 (Upside) in turn. After each recalculation copy Scenarios column F and paste values into C, D or E. The check column confirms the snapshot for the selected scenario matches the live model.</t>
  </si>
  <si>
    <t xml:space="preserve">KNOWN SIMPLIFICATIONS</t>
  </si>
  <si>
    <t xml:space="preserve">Salaries are band averages; leavers are paid out through the band averages rather than person by person, and the holiday accrual is revalued only for the January 2027 pay review. The IRS rate of each band applies to its allowances, as the withholding rules require.</t>
  </si>
  <si>
    <t xml:space="preserve">Licence vendor incentives are recognised when the licences are bought; spreading the incentive on annual licences over their term would move less than EUR 1k a month. Van VAT is treated as not recovered.</t>
  </si>
  <si>
    <t xml:space="preserve">Taxable profit equals profit before tax: no tax adjustments (for example on the amortisation of the acquired intangibles), no autonomous taxation, no deferred tax. The office lease is expensed as rent (IFRS 16 not applied).</t>
  </si>
  <si>
    <t xml:space="preserve">Projects use a standard cost per own hour for the onerous test; the project payroll itself is charged as incurred.</t>
  </si>
  <si>
    <t xml:space="preserve">INFORMATION NEEDED TO CONVERT THIS INTO A CLIENT BUILD</t>
  </si>
  <si>
    <t xml:space="preserve">Billing and RMM exports by contract and month for FY2024 to FY2026, with credit notes and the SLA terms of each contract; the PSA ticket history.</t>
  </si>
  <si>
    <t xml:space="preserve">Signed contracts: terms, notice periods, price review clauses, renewal dates; the CRM pipeline with stages and dates.</t>
  </si>
  <si>
    <t xml:space="preserve">Distributor and vendor programmes: rebate tiers, incentive rates, payment terms; the tooling vendor contract.</t>
  </si>
  <si>
    <t xml:space="preserve">Project files: contracts, estimates at completion, timesheets, subcontractor agreements, acceptance terms.</t>
  </si>
  <si>
    <t xml:space="preserve">Payroll register by person with contract type and IRS situation; the work accident insurance rate; the 2027 pay review.</t>
  </si>
  <si>
    <t xml:space="preserve">The loan agreement (covenant definitions, dividend clause), the FY2025 Modelo 22 and the latest tax computation.</t>
  </si>
  <si>
    <t xml:space="preserve">MODEL INTEGRITY CHECKS</t>
  </si>
  <si>
    <t xml:space="preserve">Every check is a live formula. A value of zero (or at least zero where a minimum is tested) returns OK. The overall status shows on the Cover.</t>
  </si>
  <si>
    <t xml:space="preserve">Check</t>
  </si>
  <si>
    <t xml:space="preserve">What it proves</t>
  </si>
  <si>
    <t xml:space="preserve">Value</t>
  </si>
  <si>
    <t xml:space="preserve">Tolerance</t>
  </si>
  <si>
    <t xml:space="preserve">Status</t>
  </si>
  <si>
    <t xml:space="preserve">STATEMENT INTEGRITY</t>
  </si>
  <si>
    <t xml:space="preserve">Balance sheet balances in every month</t>
  </si>
  <si>
    <t xml:space="preserve">Total assets less liabilities and equity, all 24 months</t>
  </si>
  <si>
    <t xml:space="preserve">Cash flow: indirect method equals direct method every month</t>
  </si>
  <si>
    <t xml:space="preserve">P&amp;L and balance sheet movements equal the sum of the schedule cash lines</t>
  </si>
  <si>
    <t xml:space="preserve">Closing cash on the cash flow equals balance sheet cash</t>
  </si>
  <si>
    <t xml:space="preserve">Link integrity</t>
  </si>
  <si>
    <t xml:space="preserve">Retained earnings roll: closing = opening + net profit - dividends declared</t>
  </si>
  <si>
    <t xml:space="preserve">Equity roll-forward to Dec-27</t>
  </si>
  <si>
    <t xml:space="preserve">Opening balance sheet at 31-Dec-25 balances</t>
  </si>
  <si>
    <t xml:space="preserve">FY2025 closing balances on Inputs_Actuals</t>
  </si>
  <si>
    <t xml:space="preserve">REVENUE, CONTRACTS AND CONTRACT BALANCES</t>
  </si>
  <si>
    <t xml:space="preserve">P&amp;L revenue equals the revenue schedule, every month</t>
  </si>
  <si>
    <t xml:space="preserve">Register counts and prices reproduce the Dec-25 fees in History</t>
  </si>
  <si>
    <t xml:space="preserve">Contract_Register agrees with the FY2025 billing</t>
  </si>
  <si>
    <t xml:space="preserve">Onboarding fees deferred equal the contract schedule, every month</t>
  </si>
  <si>
    <t xml:space="preserve">IFRS 15.B48 to B51 over the 36-month term</t>
  </si>
  <si>
    <t xml:space="preserve">Annual licences billed ahead equal the billing schedule, every month</t>
  </si>
  <si>
    <t xml:space="preserve">Twelve months of recognition per billing</t>
  </si>
  <si>
    <t xml:space="preserve">Prepaid licence cost equals the licence liability x (1 - margin), every month</t>
  </si>
  <si>
    <t xml:space="preserve">Vendor cost follows the revenue</t>
  </si>
  <si>
    <t xml:space="preserve">SLA credits due equal the credits of the month, every month</t>
  </si>
  <si>
    <t xml:space="preserve">Credited on the next invoice</t>
  </si>
  <si>
    <t xml:space="preserve">Project positions: change in contract liabilities less assets equals billing less revenue</t>
  </si>
  <si>
    <t xml:space="preserve">Every project, every month</t>
  </si>
  <si>
    <t xml:space="preserve">Opening project contract balances agree with the Project_Register at 31-Dec-25</t>
  </si>
  <si>
    <t xml:space="preserve">Billed less revenue to date</t>
  </si>
  <si>
    <t xml:space="preserve">Rebates receivable equal the accruals of quarters not yet paid, every month</t>
  </si>
  <si>
    <t xml:space="preserve">Quarterly tiers and payment timing</t>
  </si>
  <si>
    <t xml:space="preserve">MARGINS AND ALLOCATION</t>
  </si>
  <si>
    <t xml:space="preserve">Gross margin by service line reconciles to the P&amp;L gross profit, every month</t>
  </si>
  <si>
    <t xml:space="preserve">Revenue and cost of revenue fully allocated</t>
  </si>
  <si>
    <t xml:space="preserve">Contract contributions + onboarding + SLA credits equal the managed services margin (FY2026)</t>
  </si>
  <si>
    <t xml:space="preserve">Allocation by desk hours, endpoints, users and devices is complete</t>
  </si>
  <si>
    <t xml:space="preserve">PEOPLE</t>
  </si>
  <si>
    <t xml:space="preserve">Remuneration equals net pay plus employee social security and IRS, every month</t>
  </si>
  <si>
    <t xml:space="preserve">Payroll journal integrity</t>
  </si>
  <si>
    <t xml:space="preserve">Social security payable at each forecast month end equals the month due</t>
  </si>
  <si>
    <t xml:space="preserve">Paid by the 20th of the following month</t>
  </si>
  <si>
    <t xml:space="preserve">IRS withheld payable at each forecast month end equals the month due</t>
  </si>
  <si>
    <t xml:space="preserve">Christmas allowance accrual is nil at each December</t>
  </si>
  <si>
    <t xml:space="preserve">Paid with the November payroll, trued up in December</t>
  </si>
  <si>
    <t xml:space="preserve">Opening holiday accrual equals two months of Dec-25 pay by band, incl. TSU</t>
  </si>
  <si>
    <t xml:space="preserve">22 days and the holiday allowance vested on 1 January</t>
  </si>
  <si>
    <t xml:space="preserve">Every band salary is at or above the national minimum wage</t>
  </si>
  <si>
    <t xml:space="preserve">EUR 920 from January 2026</t>
  </si>
  <si>
    <t xml:space="preserve">TAX</t>
  </si>
  <si>
    <t xml:space="preserve">VAT payable equals the returns not yet paid, every month</t>
  </si>
  <si>
    <t xml:space="preserve">Monthly regime, payment in the second month</t>
  </si>
  <si>
    <t xml:space="preserve">IRC payable at Dec-26 equals FY2026 tax less its payments on account</t>
  </si>
  <si>
    <t xml:space="preserve">Tax roll-forward</t>
  </si>
  <si>
    <t xml:space="preserve">IRC payable at Dec-27 equals FY2027 tax less its payments on account (FY2026 settled)</t>
  </si>
  <si>
    <t xml:space="preserve">Balance and refund of FY2026 in 2027</t>
  </si>
  <si>
    <t xml:space="preserve">FY2026 and FY2027 tax = SME rate to EUR 50,000 + general rate + derrama on taxable profit</t>
  </si>
  <si>
    <t xml:space="preserve">IRC arithmetic</t>
  </si>
  <si>
    <t xml:space="preserve">Payments on account: September 2026 = 95% x FY2025 IRC / 3; FY2027 = 95% x FY2026 IRC</t>
  </si>
  <si>
    <t xml:space="preserve">CIRC art. 104 and 105</t>
  </si>
  <si>
    <t xml:space="preserve">IRC withheld on rent payable at each forecast month end equals 25% of the month rent</t>
  </si>
  <si>
    <t xml:space="preserve">WORKING CAPITAL TIE-OUTS</t>
  </si>
  <si>
    <t xml:space="preserve">AR aging: customers in Portugal tie to the ledger</t>
  </si>
  <si>
    <t xml:space="preserve">Item listing agrees with the balance at the last actual month</t>
  </si>
  <si>
    <t xml:space="preserve">AR aging: customers in Spain tie to the ledger</t>
  </si>
  <si>
    <t xml:space="preserve">AP aging: Hardware distributors tie to the Payables schedule</t>
  </si>
  <si>
    <t xml:space="preserve">AP aging: Licence distributor tie to the Payables schedule</t>
  </si>
  <si>
    <t xml:space="preserve">AP aging: Tooling vendor (USD) tie to the Payables schedule</t>
  </si>
  <si>
    <t xml:space="preserve">AP aging: Other suppliers tie to the Payables schedule</t>
  </si>
  <si>
    <t xml:space="preserve">Forecast receivables equal the collection rule every month</t>
  </si>
  <si>
    <t xml:space="preserve">Receipts never collect an invoice twice when the days change</t>
  </si>
  <si>
    <t xml:space="preserve">USD payable at each month end equals the month invoice at the month rate</t>
  </si>
  <si>
    <t xml:space="preserve">Exchange differences taken on settlement (IAS 21)</t>
  </si>
  <si>
    <t xml:space="preserve">FINANCING</t>
  </si>
  <si>
    <t xml:space="preserve">Loan balance at Dec-27 = opening less principal repaid</t>
  </si>
  <si>
    <t xml:space="preserve">Loan roll-forward</t>
  </si>
  <si>
    <t xml:space="preserve">Dividends and the IRS withheld on them are fully paid by each year end</t>
  </si>
  <si>
    <t xml:space="preserve">Declared, paid, withholding paid to the State</t>
  </si>
  <si>
    <t xml:space="preserve">FORECAST CONTROLS</t>
  </si>
  <si>
    <t xml:space="preserve">13-week cash forecast reconciles to the monthly balance sheet at 31-Dec-26</t>
  </si>
  <si>
    <t xml:space="preserve">Weekly phasing distributes exactly the monthly cash lines</t>
  </si>
  <si>
    <t xml:space="preserve">Scenario snapshots are current for the selected scenario</t>
  </si>
  <si>
    <t xml:space="preserve">Live column equals the stored snapshot</t>
  </si>
  <si>
    <t xml:space="preserve">Budget vs actual revenue causes reconcile (YTD and FY)</t>
  </si>
  <si>
    <t xml:space="preserve">Contract groups and revenue streams explain the full variance</t>
  </si>
  <si>
    <t xml:space="preserve">EBITDA walk from budget to actual reconciles</t>
  </si>
  <si>
    <t xml:space="preserve">Variances explain the full EBITDA gap</t>
  </si>
  <si>
    <t xml:space="preserve">SIGN AND RANGE CHECKS (minimum values, must not be negative)</t>
  </si>
  <si>
    <t xml:space="preserve">Customer receivables never negative</t>
  </si>
  <si>
    <t xml:space="preserve">Trade payables never negative</t>
  </si>
  <si>
    <t xml:space="preserve">Users, devices and fees never negative (every contract, every month)</t>
  </si>
  <si>
    <t xml:space="preserve">Project hours and provisions never negative</t>
  </si>
  <si>
    <t xml:space="preserve">Contract liabilities, prepaid licences and stock never negative</t>
  </si>
  <si>
    <t xml:space="preserve">Headcount never negative</t>
  </si>
  <si>
    <t xml:space="preserve">Fixed assets, customer relationships and the loan never negative</t>
  </si>
  <si>
    <t xml:space="preserve">Timeline: months flagged actual equal the last actual month number</t>
  </si>
  <si>
    <t xml:space="preserve">OVERALL MODEL STATUS</t>
  </si>
  <si>
    <t xml:space="preserve">BUSINESS WARNINGS (not model errors: flags for the CFO report)</t>
  </si>
  <si>
    <t xml:space="preserve">Lowest month-end cash in the forecast (selected scenario)</t>
  </si>
  <si>
    <t xml:space="preserve">Board buffer: Assumptions</t>
  </si>
  <si>
    <t xml:space="preserve">Headroom over the buffer at the lowest point</t>
  </si>
  <si>
    <t xml:space="preserve">Negative = below the board buffer</t>
  </si>
  <si>
    <t xml:space="preserve">Lowest 13-week closing cash</t>
  </si>
  <si>
    <t xml:space="preserve">Debt service cover at the December 2026 test</t>
  </si>
  <si>
    <t xml:space="preserve">Covenant at least 1.2x; a breach also blocks the 2027 dividend</t>
  </si>
  <si>
    <t xml:space="preserve">Net debt / EBITDA at the December 2026 test</t>
  </si>
  <si>
    <t xml:space="preserve">Covenant at most 2.5x</t>
  </si>
  <si>
    <t xml:space="preserve">Highest forecast service desk utilisation</t>
  </si>
  <si>
    <t xml:space="preserve">Above the knee on Assumptions SLA credits start</t>
  </si>
  <si>
    <t xml:space="preserve">Net revenue retention at Dec-27</t>
  </si>
  <si>
    <t xml:space="preserve">Below 100% the contract base shrinks without new sales</t>
  </si>
  <si>
    <t xml:space="preserve">Largest contract share of FY2026 managed services revenue</t>
  </si>
  <si>
    <t xml:space="preserve">Above 10% is a concentration risk</t>
  </si>
  <si>
    <t xml:space="preserve">Disputed J11 milestone open at the last actual month (EUR)</t>
  </si>
  <si>
    <t xml:space="preserve">Month and credit share are scenario drivers</t>
  </si>
  <si>
    <t xml:space="preserve">Onerous project provision at the last actual month (EUR)</t>
  </si>
  <si>
    <t xml:space="preserve">J01 ERP migration</t>
  </si>
  <si>
    <t xml:space="preserve">Distributor rebate tier expected for Q3-26</t>
  </si>
  <si>
    <t xml:space="preserve">2.5% budgeted</t>
  </si>
  <si>
    <t xml:space="preserve">CFO MANAGEMENT REPORT</t>
  </si>
  <si>
    <t xml:space="preserve">FICTIONAL DEMONSTRATION: Quelvora Sistemas, Lda and every figure in this report were generated for demonstration purposes.</t>
  </si>
  <si>
    <t xml:space="preserve">1. HEADLINE</t>
  </si>
  <si>
    <t xml:space="preserve">2. WHAT HAPPENED YEAR TO DATE (BvA: revenue by cause and the EBITDA walk)</t>
  </si>
  <si>
    <t xml:space="preserve">3. MANAGED SERVICES: CONTRACTS, RENEWALS AND RETENTION (Contracts, Contract_Register)</t>
  </si>
  <si>
    <t xml:space="preserve">4. SERVICE DESK CAPACITY AND SLA PERFORMANCE (Service_Desk, People)</t>
  </si>
  <si>
    <t xml:space="preserve">5. PROJECTS (Projects, Project_Register)</t>
  </si>
  <si>
    <t xml:space="preserve">6. HARDWARE, LICENCES AND REBATES (Hardware, Licences, Rebates)</t>
  </si>
  <si>
    <t xml:space="preserve">7. MARGINS BY SERVICE LINE AND CONTRACT (Margins, Contract_Register)</t>
  </si>
  <si>
    <t xml:space="preserve">8. CASH, TAX, THE LOAN AND THE 13 WEEKS (Cash_13W, VAT, Tax, Financing)</t>
  </si>
  <si>
    <t xml:space="preserve">9. SCENARIOS (Scenarios sheet; snapshot values from three full model runs)</t>
  </si>
  <si>
    <t xml:space="preserve">10. RISK REGISTER (scored 1 to 5; score = likelihood x impact)</t>
  </si>
  <si>
    <t xml:space="preserve">Risk</t>
  </si>
  <si>
    <t xml:space="preserve">Likelihood</t>
  </si>
  <si>
    <t xml:space="preserve">Impact</t>
  </si>
  <si>
    <t xml:space="preserve">Score</t>
  </si>
  <si>
    <t xml:space="preserve">Mitigation and owner</t>
  </si>
  <si>
    <t xml:space="preserve">Election under CIRC art. 107 with the tax adviser; bank briefed before the test; waiver request drafted for the Downside; CEO and BriQs CFO</t>
  </si>
  <si>
    <t xml:space="preserve">J01 closed on the revised estimate; executive sponsor meetings monthly; renewal proposal by November; CEO and account manager</t>
  </si>
  <si>
    <t xml:space="preserve">October and November hires; Venara onboarding phased over two months; SLA recovery plan for Pesqueras Morazal; Service delivery director</t>
  </si>
  <si>
    <t xml:space="preserve">Weekly estimate review on fixed-fee projects above EUR 50k; subcontractor caps in the statement of work; Project director</t>
  </si>
  <si>
    <t xml:space="preserve">Pipeline review every two weeks; presales capacity on the three largest renewals; Sales director</t>
  </si>
  <si>
    <t xml:space="preserve">Quarterly purchasing plan against the tiers; consolidated January orders; Procurement lead</t>
  </si>
  <si>
    <t xml:space="preserve">Direct debit mandates on renewal; acceptance criteria signed before the final milestone; Finance lead</t>
  </si>
  <si>
    <t xml:space="preserve">Retention review for engineers; certification path; salary benchmark before the January pay review; Directors</t>
  </si>
  <si>
    <t xml:space="preserve">Regulation from January 2027: qualified electronic signature on PDF invoices and the new social security payment window</t>
  </si>
  <si>
    <t xml:space="preserve">System changes tested in November; Finance lead</t>
  </si>
  <si>
    <t xml:space="preserve">Budget at a prudent rate; review the vendor contract currency at renewal; Finance lead</t>
  </si>
  <si>
    <t xml:space="preserve">11. ACTIONS (owner, due date, status)</t>
  </si>
  <si>
    <t xml:space="preserve">Action</t>
  </si>
  <si>
    <t xml:space="preserve">Owner</t>
  </si>
  <si>
    <t xml:space="preserve">Due</t>
  </si>
  <si>
    <t xml:space="preserve">Measure of done</t>
  </si>
  <si>
    <t xml:space="preserve">Finance lead with the tax adviser</t>
  </si>
  <si>
    <t xml:space="preserve">Open</t>
  </si>
  <si>
    <t xml:space="preserve">Payment of 15 December limited; December covenant test met</t>
  </si>
  <si>
    <t xml:space="preserve">Brief the bank on the December covenant test, with this forecast and the Downside waiver request ready</t>
  </si>
  <si>
    <t xml:space="preserve">CEO and BriQs CFO</t>
  </si>
  <si>
    <t xml:space="preserve">Meeting held; bank position in writing</t>
  </si>
  <si>
    <t xml:space="preserve">Service desk hiring: three hires in October, two in November; the Venara onboarding phased over two months if the tender is won</t>
  </si>
  <si>
    <t xml:space="preserve">Service delivery director</t>
  </si>
  <si>
    <t xml:space="preserve">In progress</t>
  </si>
  <si>
    <t xml:space="preserve">Offers accepted; onboarding plan signed off</t>
  </si>
  <si>
    <t xml:space="preserve">Brevanor Têxteis renewal plan: J01 close-out, service review and renewal proposal</t>
  </si>
  <si>
    <t xml:space="preserve">CEO and account manager</t>
  </si>
  <si>
    <t xml:space="preserve">Proposal presented; renewal signed by February</t>
  </si>
  <si>
    <t xml:space="preserve">Pesqueras Morazal: SLA recovery report and renewal price position</t>
  </si>
  <si>
    <t xml:space="preserve">Account manager</t>
  </si>
  <si>
    <t xml:space="preserve">Recovery report sent; renewal signed before December</t>
  </si>
  <si>
    <t xml:space="preserve">J01: weekly estimate at completion review and a cap on the data migration subcontractor</t>
  </si>
  <si>
    <t xml:space="preserve">Project director</t>
  </si>
  <si>
    <t xml:space="preserve">Weekly review minuted; subcontractor hours capped</t>
  </si>
  <si>
    <t xml:space="preserve">J11: acceptance test rerun and collection of the final milestone</t>
  </si>
  <si>
    <t xml:space="preserve">Project manager and Finance lead</t>
  </si>
  <si>
    <t xml:space="preserve">Acceptance signed; final milestone received</t>
  </si>
  <si>
    <t xml:space="preserve">Fourth-quarter hardware purchasing plan against the distributor tiers</t>
  </si>
  <si>
    <t xml:space="preserve">Procurement lead and Finance lead</t>
  </si>
  <si>
    <t xml:space="preserve">Plan agreed; tier position reviewed monthly</t>
  </si>
  <si>
    <t xml:space="preserve">Qualified electronic signature on invoices and the social security payment window from January 2027</t>
  </si>
  <si>
    <t xml:space="preserve">Finance lead</t>
  </si>
  <si>
    <t xml:space="preserve">Test invoices signed; payroll calendar updated</t>
  </si>
  <si>
    <t xml:space="preserve">Monthly contract margin review from the Contract_Register, with a repricing list for the 2027 renewals</t>
  </si>
  <si>
    <t xml:space="preserve">BriQs CFO</t>
  </si>
  <si>
    <t xml:space="preserve">Repricing list approved by the directors</t>
  </si>
  <si>
    <t xml:space="preserve">12. INFORMATION NEEDED BEFORE THE SEPTEMBER CLOSE</t>
  </si>
  <si>
    <t xml:space="preserve">The September billing, RMM counts of users and devices by contract, the PSA export (tickets and SLA attainment) and credit notes.</t>
  </si>
  <si>
    <t xml:space="preserve">Timesheets and subcontractor invoices by project, the J01 estimate at completion review and the J11 acceptance test outcome.</t>
  </si>
  <si>
    <t xml:space="preserve">Distributor and vendor statements for September: purchases, the third-quarter rebate tier and licence incentives.</t>
  </si>
  <si>
    <t xml:space="preserve">The September payroll journal, the status of the October hires and the Venara tender decision date.</t>
  </si>
  <si>
    <t xml:space="preserve">The tax adviser view on limiting the December payment on account, and the covenant definitions in the loan agreement.</t>
  </si>
  <si>
    <t xml:space="preserve">The renewal positions of Pesqueras Morazal and Brevanor Têxteis.</t>
  </si>
  <si>
    <t xml:space="preserve">KPI DASHBOARD</t>
  </si>
  <si>
    <t xml:space="preserve">Live links into the statements and schedules. C = FY2026 (actual + forecast), D = FY2027; balances and trailing measures at the year end unless labelled.</t>
  </si>
  <si>
    <t xml:space="preserve">Line</t>
  </si>
  <si>
    <t xml:space="preserve">Basis</t>
  </si>
  <si>
    <t xml:space="preserve">FY2026</t>
  </si>
  <si>
    <t xml:space="preserve">FY2027</t>
  </si>
  <si>
    <t xml:space="preserve">Actual (A) or Forecast (F)</t>
  </si>
  <si>
    <t xml:space="preserve">A + F</t>
  </si>
  <si>
    <t xml:space="preserve">F</t>
  </si>
  <si>
    <t xml:space="preserve">Month number</t>
  </si>
  <si>
    <t xml:space="preserve">GROWTH AND RECURRING REVENUE</t>
  </si>
  <si>
    <t xml:space="preserve">Revenue growth on the same month a year earlier</t>
  </si>
  <si>
    <t xml:space="preserve">Recurring revenue share (managed services and annual licences)</t>
  </si>
  <si>
    <t xml:space="preserve">Managed service fees (MRR)</t>
  </si>
  <si>
    <t xml:space="preserve">Annualised fees (MRR x 12)</t>
  </si>
  <si>
    <t xml:space="preserve">Managed users</t>
  </si>
  <si>
    <t xml:space="preserve">Managed devices</t>
  </si>
  <si>
    <t xml:space="preserve">Contracts billing</t>
  </si>
  <si>
    <t xml:space="preserve">Fees per user a month (devices included)</t>
  </si>
  <si>
    <t xml:space="preserve">Net revenue retention, trailing 12 months</t>
  </si>
  <si>
    <t xml:space="preserve">Gross revenue retention, trailing 12 months</t>
  </si>
  <si>
    <t xml:space="preserve">Fees lost at renewal (a month)</t>
  </si>
  <si>
    <t xml:space="preserve">First-year fees of new contracts</t>
  </si>
  <si>
    <t xml:space="preserve">SERVICE DESK AND SLA</t>
  </si>
  <si>
    <t xml:space="preserve">Tickets</t>
  </si>
  <si>
    <t xml:space="preserve">Service desk utilisation</t>
  </si>
  <si>
    <t xml:space="preserve">SLA attainment</t>
  </si>
  <si>
    <t xml:space="preserve">SLA credits</t>
  </si>
  <si>
    <t xml:space="preserve">SLA credits, % of fees</t>
  </si>
  <si>
    <t xml:space="preserve">Service desk FTE</t>
  </si>
  <si>
    <t xml:space="preserve">FTE short (+) or spare (-) against the utilisation knee</t>
  </si>
  <si>
    <t xml:space="preserve">Tickets per service desk FTE</t>
  </si>
  <si>
    <t xml:space="preserve">MARGINS AND SERVICE LINES</t>
  </si>
  <si>
    <t xml:space="preserve">Gross margin %</t>
  </si>
  <si>
    <t xml:space="preserve">Gross margin %: managed services</t>
  </si>
  <si>
    <t xml:space="preserve">Gross margin %: hardware (after rebates)</t>
  </si>
  <si>
    <t xml:space="preserve">Gross margin %: licence resale</t>
  </si>
  <si>
    <t xml:space="preserve">Gross margin %: projects</t>
  </si>
  <si>
    <t xml:space="preserve">Distributor rebate, % of purchases</t>
  </si>
  <si>
    <t xml:space="preserve">Project team utilisation</t>
  </si>
  <si>
    <t xml:space="preserve">Signed project backlog</t>
  </si>
  <si>
    <t xml:space="preserve">CASH, DEBT AND PEOPLE</t>
  </si>
  <si>
    <t xml:space="preserve">Cash at bank</t>
  </si>
  <si>
    <t xml:space="preserve">Minimum cash buffer (board policy)</t>
  </si>
  <si>
    <t xml:space="preserve">Headroom over the buffer</t>
  </si>
  <si>
    <t xml:space="preserve">Bank loan</t>
  </si>
  <si>
    <t xml:space="preserve">Net debt</t>
  </si>
  <si>
    <t xml:space="preserve">Net debt / EBITDA, last twelve months</t>
  </si>
  <si>
    <t xml:space="preserve">Debt service cover, last twelve months</t>
  </si>
  <si>
    <t xml:space="preserve">Debtor days</t>
  </si>
  <si>
    <t xml:space="preserve">EBITDA</t>
  </si>
  <si>
    <t xml:space="preserve">EBITDA % of revenue</t>
  </si>
  <si>
    <t xml:space="preserve">Free cash flow (before financing)</t>
  </si>
  <si>
    <t xml:space="preserve">Headcount</t>
  </si>
  <si>
    <t xml:space="preserve">Revenue per employee, annualised</t>
  </si>
  <si>
    <t xml:space="preserve">PROFIT AND LOSS</t>
  </si>
  <si>
    <t xml:space="preserve">Monthly, actual Jan-26 to Aug-26 and forecast to Dec-27 for the selected scenario. Revenue positive, costs negative. Cost of revenue = hardware and licences net of vendor rebates, service tooling, colocation, field vans, subcontractors, the onerous project provision and the service delivery and project teams.</t>
  </si>
  <si>
    <t xml:space="preserve">REVENUE (IFRS 15)</t>
  </si>
  <si>
    <t xml:space="preserve">Managed services: fees</t>
  </si>
  <si>
    <t xml:space="preserve">Managed services: SLA credits (variable consideration)</t>
  </si>
  <si>
    <t xml:space="preserve">Managed services: onboarding fees recognised</t>
  </si>
  <si>
    <t xml:space="preserve">Licences bundled in managed contracts (principal)</t>
  </si>
  <si>
    <t xml:space="preserve">Annual security and backup licences (principal, over 12 months)</t>
  </si>
  <si>
    <t xml:space="preserve">Licences resold as agent: commission and vendor incentive (net)</t>
  </si>
  <si>
    <t xml:space="preserve">Hardware (principal)</t>
  </si>
  <si>
    <t xml:space="preserve">REVENUE</t>
  </si>
  <si>
    <t xml:space="preserve">COST OF REVENUE</t>
  </si>
  <si>
    <t xml:space="preserve">Hardware cost net of distributor rebates</t>
  </si>
  <si>
    <t xml:space="preserve">Licence cost net of vendor incentives</t>
  </si>
  <si>
    <t xml:space="preserve">Service tooling (USD platforms)</t>
  </si>
  <si>
    <t xml:space="preserve">Colocation and backup storage</t>
  </si>
  <si>
    <t xml:space="preserve">Field vans</t>
  </si>
  <si>
    <t xml:space="preserve">Subcontractors (specialists and cabling)</t>
  </si>
  <si>
    <t xml:space="preserve">Onerous project provision: movement (IAS 37)</t>
  </si>
  <si>
    <t xml:space="preserve">Service delivery payroll</t>
  </si>
  <si>
    <t xml:space="preserve">Project team payroll</t>
  </si>
  <si>
    <t xml:space="preserve">TOTAL COST OF REVENUE</t>
  </si>
  <si>
    <t xml:space="preserve">GROSS PROFIT</t>
  </si>
  <si>
    <t xml:space="preserve">revenue - cost of revenue</t>
  </si>
  <si>
    <t xml:space="preserve">Gross margin % of revenue</t>
  </si>
  <si>
    <t xml:space="preserve">OPERATING EXPENSES</t>
  </si>
  <si>
    <t xml:space="preserve">Sales and marketing payroll incl. commissions</t>
  </si>
  <si>
    <t xml:space="preserve">General and administrative payroll</t>
  </si>
  <si>
    <t xml:space="preserve">Office rent, Porto</t>
  </si>
  <si>
    <t xml:space="preserve">Statutory audit, legal and tax advisers</t>
  </si>
  <si>
    <t xml:space="preserve">Insurance</t>
  </si>
  <si>
    <t xml:space="preserve">Marketing and events</t>
  </si>
  <si>
    <t xml:space="preserve">Training and certifications</t>
  </si>
  <si>
    <t xml:space="preserve">Recruitment</t>
  </si>
  <si>
    <t xml:space="preserve">Travel</t>
  </si>
  <si>
    <t xml:space="preserve">Telecoms and internal IT</t>
  </si>
  <si>
    <t xml:space="preserve">Office services and utilities</t>
  </si>
  <si>
    <t xml:space="preserve">Occupational health and safety</t>
  </si>
  <si>
    <t xml:space="preserve">TOTAL OPERATING EXPENSES</t>
  </si>
  <si>
    <t xml:space="preserve">BELOW EBITDA</t>
  </si>
  <si>
    <t xml:space="preserve">Depreciation and amortisation (incl. customer relationships)</t>
  </si>
  <si>
    <t xml:space="preserve">EBIT</t>
  </si>
  <si>
    <t xml:space="preserve">Interest on the bank loan</t>
  </si>
  <si>
    <t xml:space="preserve">Exchange differences on the USD tooling vendor</t>
  </si>
  <si>
    <t xml:space="preserve">PROFIT BEFORE TAX</t>
  </si>
  <si>
    <t xml:space="preserve">Corporate income tax (IRC) and derrama</t>
  </si>
  <si>
    <t xml:space="preserve">NET PROFIT</t>
  </si>
  <si>
    <t xml:space="preserve">Net profit % of revenue</t>
  </si>
  <si>
    <t xml:space="preserve">SERVICE LINE AND FUNCTIONAL VIEW (memo)</t>
  </si>
  <si>
    <t xml:space="preserve">Revenue: managed services</t>
  </si>
  <si>
    <t xml:space="preserve">Revenue: licence resale</t>
  </si>
  <si>
    <t xml:space="preserve">Revenue: hardware</t>
  </si>
  <si>
    <t xml:space="preserve">Revenue: projects</t>
  </si>
  <si>
    <t xml:space="preserve">Payroll cost, all teams incl. commissions</t>
  </si>
  <si>
    <t xml:space="preserve">Payroll % of revenue</t>
  </si>
  <si>
    <t xml:space="preserve">Management accounts under IFRS 15, IAS 2, IAS 19, IAS 21, IAS 37 and IAS 38. The statutory accounts follow SNC; the model does not compute differences between the two or deferred tax. The office lease is expensed as rent (IFRS 16 not applied).</t>
  </si>
  <si>
    <t xml:space="preserve">BALANCE SHEET</t>
  </si>
  <si>
    <t xml:space="preserve">Every balance comes from a schedule. The check row must be zero in every month.</t>
  </si>
  <si>
    <t xml:space="preserve">ASSETS</t>
  </si>
  <si>
    <t xml:space="preserve">Receivables: customers in Portugal (incl. VAT)</t>
  </si>
  <si>
    <t xml:space="preserve">Receivables: customers in Spain</t>
  </si>
  <si>
    <t xml:space="preserve">Contract assets: projects (progress ahead of billing)</t>
  </si>
  <si>
    <t xml:space="preserve">Hardware stock</t>
  </si>
  <si>
    <t xml:space="preserve">Prepaid annual licence costs</t>
  </si>
  <si>
    <t xml:space="preserve">Rebates and incentives receivable</t>
  </si>
  <si>
    <t xml:space="preserve">Contract costs: capitalised commissions (IFRS 15.91)</t>
  </si>
  <si>
    <t xml:space="preserve">Rent deposit</t>
  </si>
  <si>
    <t xml:space="preserve">opening balance</t>
  </si>
  <si>
    <t xml:space="preserve">IT equipment and office fit-out</t>
  </si>
  <si>
    <t xml:space="preserve">Customer relationships</t>
  </si>
  <si>
    <t xml:space="preserve">Goodwill</t>
  </si>
  <si>
    <t xml:space="preserve">TOTAL ASSETS</t>
  </si>
  <si>
    <t xml:space="preserve">LIABILITIES</t>
  </si>
  <si>
    <t xml:space="preserve">Trade payables: hardware distributors</t>
  </si>
  <si>
    <t xml:space="preserve">Trade payables: licence distributor</t>
  </si>
  <si>
    <t xml:space="preserve">Trade payables: tooling vendor (USD)</t>
  </si>
  <si>
    <t xml:space="preserve">Trade payables: other suppliers</t>
  </si>
  <si>
    <t xml:space="preserve">Contract liabilities: annual licences billed ahead</t>
  </si>
  <si>
    <t xml:space="preserve">Contract liabilities: projects billed ahead of progress</t>
  </si>
  <si>
    <t xml:space="preserve">Contract liabilities: onboarding fees deferred</t>
  </si>
  <si>
    <t xml:space="preserve">SLA credits due to customers</t>
  </si>
  <si>
    <t xml:space="preserve">VAT payable</t>
  </si>
  <si>
    <t xml:space="preserve">Social security payable</t>
  </si>
  <si>
    <t xml:space="preserve">IRS withheld payable</t>
  </si>
  <si>
    <t xml:space="preserve">IRC withheld on rent payable</t>
  </si>
  <si>
    <t xml:space="preserve">Commissions payable (incl. TSU)</t>
  </si>
  <si>
    <t xml:space="preserve">Holiday pay and holiday allowance accrued</t>
  </si>
  <si>
    <t xml:space="preserve">Christmas allowance accrued</t>
  </si>
  <si>
    <t xml:space="preserve">Corporate income tax payable / (recoverable)</t>
  </si>
  <si>
    <t xml:space="preserve">Dividends payable</t>
  </si>
  <si>
    <t xml:space="preserve">IRS withheld on dividends payable</t>
  </si>
  <si>
    <t xml:space="preserve">Provision: onerous projects (IAS 37)</t>
  </si>
  <si>
    <t xml:space="preserve">Bank term loan</t>
  </si>
  <si>
    <t xml:space="preserve">TOTAL LIABILITIES</t>
  </si>
  <si>
    <t xml:space="preserve">EQUITY</t>
  </si>
  <si>
    <t xml:space="preserve">Share capital</t>
  </si>
  <si>
    <t xml:space="preserve">Legal reserve</t>
  </si>
  <si>
    <t xml:space="preserve">Retained earnings: opening (memo)</t>
  </si>
  <si>
    <t xml:space="preserve">Net profit (memo)</t>
  </si>
  <si>
    <t xml:space="preserve">Dividends declared (memo)</t>
  </si>
  <si>
    <t xml:space="preserve">Retained earnings</t>
  </si>
  <si>
    <t xml:space="preserve">TOTAL EQUITY</t>
  </si>
  <si>
    <t xml:space="preserve">TOTAL LIABILITIES AND EQUITY</t>
  </si>
  <si>
    <t xml:space="preserve">CHECK: assets less liabilities and equity (must be zero)</t>
  </si>
  <si>
    <t xml:space="preserve">MEMO</t>
  </si>
  <si>
    <t xml:space="preserve">Net debt (loan less cash)</t>
  </si>
  <si>
    <t xml:space="preserve">Trade working capital (receivables + stock - trade payables)</t>
  </si>
  <si>
    <t xml:space="preserve">Contract liabilities, total</t>
  </si>
  <si>
    <t xml:space="preserve">CASH FLOW STATEMENT</t>
  </si>
  <si>
    <t xml:space="preserve">Indirect method from the P&amp;L and balance sheet movements, reconciled every month to a direct build of the cash lines in each schedule. Interest paid sits in operating activities (IAS 7.33); IT equipment bought on credit flows through trade payables.</t>
  </si>
  <si>
    <t xml:space="preserve">OPERATING ACTIVITIES (indirect)</t>
  </si>
  <si>
    <t xml:space="preserve">Net profit</t>
  </si>
  <si>
    <t xml:space="preserve">Add back: depreciation and amortisation</t>
  </si>
  <si>
    <t xml:space="preserve">(Increase) / decrease in customer receivables</t>
  </si>
  <si>
    <t xml:space="preserve">BS movement</t>
  </si>
  <si>
    <t xml:space="preserve">(Increase) / decrease in contract assets</t>
  </si>
  <si>
    <t xml:space="preserve">(Increase) / decrease in hardware stock</t>
  </si>
  <si>
    <t xml:space="preserve">(Increase) / decrease in prepaid licences, rebates receivable, deposit and capitalised commissions</t>
  </si>
  <si>
    <t xml:space="preserve">Increase / (decrease) in trade payables</t>
  </si>
  <si>
    <t xml:space="preserve">Increase / (decrease) in contract liabilities and SLA credits due</t>
  </si>
  <si>
    <t xml:space="preserve">Increase / (decrease) in payroll liabilities (TSU, IRS, commissions, holiday and Christmas accruals)</t>
  </si>
  <si>
    <t xml:space="preserve">Increase / (decrease) in VAT, IRC and withholdings</t>
  </si>
  <si>
    <t xml:space="preserve">Increase / (decrease) in the onerous project provision</t>
  </si>
  <si>
    <t xml:space="preserve">NET CASH FROM OPERATING ACTIVITIES</t>
  </si>
  <si>
    <t xml:space="preserve">INVESTING ACTIVITIES</t>
  </si>
  <si>
    <t xml:space="preserve">Capital expenditure (IT equipment)</t>
  </si>
  <si>
    <t xml:space="preserve">NET CASH FROM INVESTING ACTIVITIES</t>
  </si>
  <si>
    <t xml:space="preserve">FINANCING ACTIVITIES</t>
  </si>
  <si>
    <t xml:space="preserve">Bank loan repaid</t>
  </si>
  <si>
    <t xml:space="preserve">Dividends paid incl. the IRS withheld paid to the State</t>
  </si>
  <si>
    <t xml:space="preserve">declared + movement in dividends and withholding payable</t>
  </si>
  <si>
    <t xml:space="preserve">NET CASH FROM FINANCING ACTIVITIES</t>
  </si>
  <si>
    <t xml:space="preserve">CASH</t>
  </si>
  <si>
    <t xml:space="preserve">NET CASH FLOW FOR THE MONTH</t>
  </si>
  <si>
    <t xml:space="preserve">Opening cash</t>
  </si>
  <si>
    <t xml:space="preserve">CLOSING CASH (to balance sheet)</t>
  </si>
  <si>
    <t xml:space="preserve">Free cash flow (operating less capex, before financing)</t>
  </si>
  <si>
    <t xml:space="preserve">memo</t>
  </si>
  <si>
    <t xml:space="preserve">DIRECT METHOD (built from the cash lines of each schedule)</t>
  </si>
  <si>
    <t xml:space="preserve">Receipts: customers in Portugal</t>
  </si>
  <si>
    <t xml:space="preserve">schedule cash line</t>
  </si>
  <si>
    <t xml:space="preserve">Receipts: customers in Spain</t>
  </si>
  <si>
    <t xml:space="preserve">Rebates and incentives received</t>
  </si>
  <si>
    <t xml:space="preserve">IRC refunded</t>
  </si>
  <si>
    <t xml:space="preserve">Net pay and meal cards</t>
  </si>
  <si>
    <t xml:space="preserve">Work accident and health insurance</t>
  </si>
  <si>
    <t xml:space="preserve">Social security (20th)</t>
  </si>
  <si>
    <t xml:space="preserve">IRS withheld (20th)</t>
  </si>
  <si>
    <t xml:space="preserve">IRC withheld on rent (20th)</t>
  </si>
  <si>
    <t xml:space="preserve">Hardware distributors</t>
  </si>
  <si>
    <t xml:space="preserve">Licence distributor</t>
  </si>
  <si>
    <t xml:space="preserve">Tooling vendor in USD (15th)</t>
  </si>
  <si>
    <t xml:space="preserve">Other suppliers incl. VAT and IT equipment</t>
  </si>
  <si>
    <t xml:space="preserve">Direct debits: insurance, travel, telecoms, vans</t>
  </si>
  <si>
    <t xml:space="preserve">Rent, net of the IRC withheld</t>
  </si>
  <si>
    <t xml:space="preserve">IRC: payments on account and balance</t>
  </si>
  <si>
    <t xml:space="preserve">Loan interest</t>
  </si>
  <si>
    <t xml:space="preserve">Loan principal</t>
  </si>
  <si>
    <t xml:space="preserve">Dividends paid, net</t>
  </si>
  <si>
    <t xml:space="preserve">IRS withheld on dividends paid to the State</t>
  </si>
  <si>
    <t xml:space="preserve">NET CASH FLOW, DIRECT METHOD</t>
  </si>
  <si>
    <t xml:space="preserve">CHECK: indirect less direct (must be zero)</t>
  </si>
  <si>
    <t xml:space="preserve">BUDGET VS ACTUAL: YEAR TO DATE AND FULL-YEAR OUTLOOK (EUR)</t>
  </si>
  <si>
    <t xml:space="preserve">YTD = actual months per the Timeline. Outlook = actual months plus the selected scenario forecast for the rest of FY2026. Variance = actual or outlook less budget; favourable is positive for revenue and profit lines, and for cost lines shown as negatives.</t>
  </si>
  <si>
    <t xml:space="preserve">YTD actual</t>
  </si>
  <si>
    <t xml:space="preserve">YTD budget</t>
  </si>
  <si>
    <t xml:space="preserve">Variance</t>
  </si>
  <si>
    <t xml:space="preserve">Variance %</t>
  </si>
  <si>
    <t xml:space="preserve">FY26 outlook</t>
  </si>
  <si>
    <t xml:space="preserve">FY26 budget</t>
  </si>
  <si>
    <t xml:space="preserve">Commentary</t>
  </si>
  <si>
    <t xml:space="preserve">Depreciation and amortisation</t>
  </si>
  <si>
    <t xml:space="preserve">Exchange differences</t>
  </si>
  <si>
    <t xml:space="preserve">DRIVERS AND BALANCES (YTD columns: at the last actual month or year to date; FY columns: at Dec-26 or full year)</t>
  </si>
  <si>
    <t xml:space="preserve">Managed service fees (MRR) in the month</t>
  </si>
  <si>
    <t xml:space="preserve">Distributor rebate earned, % of purchases</t>
  </si>
  <si>
    <t xml:space="preserve">REVENUE VARIANCE BY CAUSE (contracts, service desk, licences, hardware and projects; reconciles to the revenue variance)</t>
  </si>
  <si>
    <t xml:space="preserve">Cause</t>
  </si>
  <si>
    <t xml:space="preserve">YTD variance</t>
  </si>
  <si>
    <t xml:space="preserve">Revenue effect YTD</t>
  </si>
  <si>
    <t xml:space="preserve">FY26 variance</t>
  </si>
  <si>
    <t xml:space="preserve">Revenue effect FY26</t>
  </si>
  <si>
    <t xml:space="preserve">Traslovia Transportes not renewed at its April term end</t>
  </si>
  <si>
    <t xml:space="preserve">New contracts: three won from March, May and July (and pipeline) against four budgeted</t>
  </si>
  <si>
    <t xml:space="preserve">Existing contracts: users, devices and price reviews</t>
  </si>
  <si>
    <t xml:space="preserve">SLA credits (service desk capacity)</t>
  </si>
  <si>
    <t xml:space="preserve">Onboarding fees recognised</t>
  </si>
  <si>
    <t xml:space="preserve">Bundled licences</t>
  </si>
  <si>
    <t xml:space="preserve">Annual licences</t>
  </si>
  <si>
    <t xml:space="preserve">Licences resold as agent</t>
  </si>
  <si>
    <t xml:space="preserve">TOTAL REVENUE VARIANCE</t>
  </si>
  <si>
    <t xml:space="preserve">Check: causes less the P&amp;L revenue variance (must be zero)</t>
  </si>
  <si>
    <t xml:space="preserve">Managed service fees split by contract group (Traslovia, the contracts won in 2026 with the pipeline, and the contracts live at 31-Dec-25); the other causes by revenue stream. The causes add up exactly to the revenue variance.</t>
  </si>
  <si>
    <t xml:space="preserve">EBITDA WALK, YTD (budget to actual)</t>
  </si>
  <si>
    <t xml:space="preserve">Budget EBITDA YTD</t>
  </si>
  <si>
    <t xml:space="preserve">Managed services revenue (fees, SLA credits, onboarding, bundled licences)</t>
  </si>
  <si>
    <t xml:space="preserve">Licence resale revenue</t>
  </si>
  <si>
    <t xml:space="preserve">Hardware revenue</t>
  </si>
  <si>
    <t xml:space="preserve">Project revenue</t>
  </si>
  <si>
    <t xml:space="preserve">Hardware cost net of rebates</t>
  </si>
  <si>
    <t xml:space="preserve">Licence cost net of incentives</t>
  </si>
  <si>
    <t xml:space="preserve">Tooling, colocation and field vans</t>
  </si>
  <si>
    <t xml:space="preserve">Subcontractors</t>
  </si>
  <si>
    <t xml:space="preserve">Onerous project provision</t>
  </si>
  <si>
    <t xml:space="preserve">Actual EBITDA YTD</t>
  </si>
  <si>
    <t xml:space="preserve">Check: budget + variances - actual (must be zero)</t>
  </si>
  <si>
    <t xml:space="preserve">SCENARIO COMPARISON: BASE, DOWNSIDE (WORST) AND UPSIDE (BEST)</t>
  </si>
  <si>
    <t xml:space="preserve">Columns C to E hold snapshot values written by running the full model under each scenario (run date in B5). Column F is live for the scenario selected on Assumptions and must equal its snapshot (check in G). Drivers below are live links to Assumptions.</t>
  </si>
  <si>
    <t xml:space="preserve">Snapshot run date</t>
  </si>
  <si>
    <t xml:space="preserve">23-Sep-2026</t>
  </si>
  <si>
    <t xml:space="preserve">Selected scenario (live)</t>
  </si>
  <si>
    <t xml:space="preserve">Metric</t>
  </si>
  <si>
    <t xml:space="preserve">Unit</t>
  </si>
  <si>
    <t xml:space="preserve">Base</t>
  </si>
  <si>
    <t xml:space="preserve">Downside</t>
  </si>
  <si>
    <t xml:space="preserve">Upside</t>
  </si>
  <si>
    <t xml:space="preserve">Live (selected)</t>
  </si>
  <si>
    <t xml:space="preserve">Check: live less snapshot</t>
  </si>
  <si>
    <t xml:space="preserve">FY2026 revenue (outlook)</t>
  </si>
  <si>
    <t xml:space="preserve">EUR</t>
  </si>
  <si>
    <t xml:space="preserve">FY2027 revenue</t>
  </si>
  <si>
    <t xml:space="preserve">FY2027 revenue growth</t>
  </si>
  <si>
    <t xml:space="preserve">%</t>
  </si>
  <si>
    <t xml:space="preserve">Managed service fees (MRR) in Dec-27</t>
  </si>
  <si>
    <t xml:space="preserve">FY2027 service desk utilisation</t>
  </si>
  <si>
    <t xml:space="preserve">FY2027 SLA credits</t>
  </si>
  <si>
    <t xml:space="preserve">FY2026 gross margin %</t>
  </si>
  <si>
    <t xml:space="preserve">FY2027 gross margin %</t>
  </si>
  <si>
    <t xml:space="preserve">FY2026 EBITDA</t>
  </si>
  <si>
    <t xml:space="preserve">FY2027 EBITDA</t>
  </si>
  <si>
    <t xml:space="preserve">FY2027 net profit</t>
  </si>
  <si>
    <t xml:space="preserve">FY2027 project gross margin</t>
  </si>
  <si>
    <t xml:space="preserve">Cash at 31-Dec-26</t>
  </si>
  <si>
    <t xml:space="preserve">Cash at 31-Dec-27</t>
  </si>
  <si>
    <t xml:space="preserve">Lowest month-end cash, Sep-26 to Dec-27</t>
  </si>
  <si>
    <t xml:space="preserve">Month of the lowest cash</t>
  </si>
  <si>
    <t xml:space="preserve">month</t>
  </si>
  <si>
    <t xml:space="preserve">Headroom at the lowest point over the board buffer (negative = below)</t>
  </si>
  <si>
    <t xml:space="preserve">Net debt / EBITDA at Dec-26 (covenant at most 2.5x)</t>
  </si>
  <si>
    <t xml:space="preserve">x</t>
  </si>
  <si>
    <t xml:space="preserve">Debt service cover at Dec-26 (covenant at least 1.2x)</t>
  </si>
  <si>
    <t xml:space="preserve">Debt service cover at Dec-27</t>
  </si>
  <si>
    <t xml:space="preserve">Dividend paid in May 2027, net of IRS</t>
  </si>
  <si>
    <t xml:space="preserve">Headcount at Dec-27</t>
  </si>
  <si>
    <t xml:space="preserve">number</t>
  </si>
  <si>
    <t xml:space="preserve">Total of check column (must be zero)</t>
  </si>
  <si>
    <t xml:space="preserve">KEY DRIVERS BY SCENARIO (live links to Assumptions)</t>
  </si>
  <si>
    <t xml:space="preserve">Renewal and win probabilities by contract and scenario are on the Contract_Register. To refresh the snapshots: set the scenario selector on Assumptions to 1, 2 and 3 in turn, recalculate, and paste column F as values into C, D and E.</t>
  </si>
  <si>
    <t xml:space="preserve">13-WEEK CASH FORECAST, DIRECT METHOD (EUR)</t>
  </si>
  <si>
    <t xml:space="preserve">Weeks ending Friday 18-Sep-26 to Friday 11-Dec-26. Opening cash = Aug-26 ledger cash plus actual movements 1 to 11 Sep (column C, per bank). Each line phases its monthly model amount (columns D to G) into weeks with the timing rule in column B (Portuguese dates: a deadline on a weekend or public holiday moves to the next working day); closing cash at 11-Dec plus the remaining December flows reconciles to the monthly balance sheet.</t>
  </si>
  <si>
    <t xml:space="preserve">Timing rule</t>
  </si>
  <si>
    <t xml:space="preserve">Actual 1-11 Sep</t>
  </si>
  <si>
    <t xml:space="preserve">Sep-26 monthly model</t>
  </si>
  <si>
    <t xml:space="preserve">Oct-26 monthly model</t>
  </si>
  <si>
    <t xml:space="preserve">Nov-26 monthly model</t>
  </si>
  <si>
    <t xml:space="preserve">Dec-26 monthly model</t>
  </si>
  <si>
    <t xml:space="preserve">W1</t>
  </si>
  <si>
    <t xml:space="preserve">W2</t>
  </si>
  <si>
    <t xml:space="preserve">W3</t>
  </si>
  <si>
    <t xml:space="preserve">W4</t>
  </si>
  <si>
    <t xml:space="preserve">W5</t>
  </si>
  <si>
    <t xml:space="preserve">W6</t>
  </si>
  <si>
    <t xml:space="preserve">W7</t>
  </si>
  <si>
    <t xml:space="preserve">W8</t>
  </si>
  <si>
    <t xml:space="preserve">W9</t>
  </si>
  <si>
    <t xml:space="preserve">W10</t>
  </si>
  <si>
    <t xml:space="preserve">W11</t>
  </si>
  <si>
    <t xml:space="preserve">W12</t>
  </si>
  <si>
    <t xml:space="preserve">W13</t>
  </si>
  <si>
    <t xml:space="preserve">Total 13 weeks</t>
  </si>
  <si>
    <t xml:space="preserve">Share of December inside the window</t>
  </si>
  <si>
    <t xml:space="preserve">December flows after 11-Dec</t>
  </si>
  <si>
    <t xml:space="preserve">Week ending (Friday)</t>
  </si>
  <si>
    <t xml:space="preserve">Week starting (Saturday)</t>
  </si>
  <si>
    <t xml:space="preserve">opening as at</t>
  </si>
  <si>
    <t xml:space="preserve">Month of week end</t>
  </si>
  <si>
    <t xml:space="preserve">PHASING WEIGHTS BY RULE AND MONTH (helper rows)</t>
  </si>
  <si>
    <t xml:space="preserve">Calendar days: share of Sep-26 falling in the week (after the opening date)</t>
  </si>
  <si>
    <t xml:space="preserve">Calendar days: share of Oct-26 falling in the week (after the opening date)</t>
  </si>
  <si>
    <t xml:space="preserve">Calendar days: share of Nov-26 falling in the week (after the opening date)</t>
  </si>
  <si>
    <t xml:space="preserve">Calendar days: share of Dec-26 falling in the week (after the opening date)</t>
  </si>
  <si>
    <t xml:space="preserve">month end of Sep-26 falls in the week (1/0), after the opening date only</t>
  </si>
  <si>
    <t xml:space="preserve">month end of Oct-26 falls in the week (1/0), after the opening date only</t>
  </si>
  <si>
    <t xml:space="preserve">month end of Nov-26 falls in the week (1/0), after the opening date only</t>
  </si>
  <si>
    <t xml:space="preserve">month end of Dec-26 falls in the week (1/0), after the opening date only</t>
  </si>
  <si>
    <t xml:space="preserve">last working day of Sep-26 falls in the week (1/0), after the opening date only</t>
  </si>
  <si>
    <t xml:space="preserve">last working day of Oct-26 falls in the week (1/0), after the opening date only</t>
  </si>
  <si>
    <t xml:space="preserve">last working day of Nov-26 falls in the week (1/0), after the opening date only</t>
  </si>
  <si>
    <t xml:space="preserve">last working day of Dec-26 falls in the week (1/0), after the opening date only</t>
  </si>
  <si>
    <t xml:space="preserve">20th (social security and IRS) of Sep-26 falls in the week (1/0), after the opening date only</t>
  </si>
  <si>
    <t xml:space="preserve">20th (social security and IRS) of Oct-26 falls in the week (1/0), after the opening date only</t>
  </si>
  <si>
    <t xml:space="preserve">20th (social security and IRS) of Nov-26 falls in the week (1/0), after the opening date only</t>
  </si>
  <si>
    <t xml:space="preserve">20th (social security and IRS) of Dec-26 falls in the week (1/0), after the opening date only</t>
  </si>
  <si>
    <t xml:space="preserve">25th (VAT) of Sep-26 falls in the week (1/0), after the opening date only</t>
  </si>
  <si>
    <t xml:space="preserve">25th (VAT) of Oct-26 falls in the week (1/0), after the opening date only</t>
  </si>
  <si>
    <t xml:space="preserve">25th (VAT) of Nov-26 falls in the week (1/0), after the opening date only</t>
  </si>
  <si>
    <t xml:space="preserve">25th (VAT) of Dec-26 falls in the week (1/0), after the opening date only</t>
  </si>
  <si>
    <t xml:space="preserve">15th (USD wire) of Sep-26 falls in the week (1/0), after the opening date only</t>
  </si>
  <si>
    <t xml:space="preserve">15th (USD wire) of Oct-26 falls in the week (1/0), after the opening date only</t>
  </si>
  <si>
    <t xml:space="preserve">15th (USD wire) of Nov-26 falls in the week (1/0), after the opening date only</t>
  </si>
  <si>
    <t xml:space="preserve">15th (USD wire) of Dec-26 falls in the week (1/0), after the opening date only</t>
  </si>
  <si>
    <t xml:space="preserve">IRC instalment (30 Sep, 15 Dec) of Sep-26 falls in the week (1/0), after the opening date only</t>
  </si>
  <si>
    <t xml:space="preserve">IRC instalment (30 Sep, 15 Dec) of Oct-26 falls in the week (1/0), after the opening date only</t>
  </si>
  <si>
    <t xml:space="preserve">IRC instalment (30 Sep, 15 Dec) of Nov-26 falls in the week (1/0), after the opening date only</t>
  </si>
  <si>
    <t xml:space="preserve">IRC instalment (30 Sep, 15 Dec) of Dec-26 falls in the week (1/0), after the opening date only</t>
  </si>
  <si>
    <t xml:space="preserve">first working day of Sep-26 falls in the week (1/0), after the opening date only</t>
  </si>
  <si>
    <t xml:space="preserve">first working day of Oct-26 falls in the week (1/0), after the opening date only</t>
  </si>
  <si>
    <t xml:space="preserve">first working day of Nov-26 falls in the week (1/0), after the opening date only</t>
  </si>
  <si>
    <t xml:space="preserve">first working day of Dec-26 falls in the week (1/0), after the opening date only</t>
  </si>
  <si>
    <t xml:space="preserve">10th (direct debits) of Sep-26 falls in the week (1/0), after the opening date only</t>
  </si>
  <si>
    <t xml:space="preserve">10th (direct debits) of Oct-26 falls in the week (1/0), after the opening date only</t>
  </si>
  <si>
    <t xml:space="preserve">10th (direct debits) of Nov-26 falls in the week (1/0), after the opening date only</t>
  </si>
  <si>
    <t xml:space="preserve">10th (direct debits) of Dec-26 falls in the week (1/0), after the opening date only</t>
  </si>
  <si>
    <t xml:space="preserve">RECEIPTS</t>
  </si>
  <si>
    <t xml:space="preserve">Customer receipts: Portugal, incl. VAT (collected through the month)</t>
  </si>
  <si>
    <t xml:space="preserve">calendar days</t>
  </si>
  <si>
    <t xml:space="preserve">Customer receipts: Spain</t>
  </si>
  <si>
    <t xml:space="preserve">Distributor rebate and licence incentives (end of the second month after the quarter)</t>
  </si>
  <si>
    <t xml:space="preserve">month end</t>
  </si>
  <si>
    <t xml:space="preserve">TOTAL RECEIPTS</t>
  </si>
  <si>
    <t xml:space="preserve">n/a</t>
  </si>
  <si>
    <t xml:space="preserve">PAYMENTS</t>
  </si>
  <si>
    <t xml:space="preserve">Net pay and meal cards (last working day; November carries the Christmas allowance)</t>
  </si>
  <si>
    <t xml:space="preserve">last working day</t>
  </si>
  <si>
    <t xml:space="preserve">Social security for the prior month (20th)</t>
  </si>
  <si>
    <t xml:space="preserve">20th (social security and IRS)</t>
  </si>
  <si>
    <t xml:space="preserve">IRS withheld for the prior month (20th)</t>
  </si>
  <si>
    <t xml:space="preserve">Work accident and health insurance (direct debit)</t>
  </si>
  <si>
    <t xml:space="preserve">10th (direct debits)</t>
  </si>
  <si>
    <t xml:space="preserve">Direct debits: insurance, travel, telecoms and field vans</t>
  </si>
  <si>
    <t xml:space="preserve">Rent, net of the IRC withheld (first working day)</t>
  </si>
  <si>
    <t xml:space="preserve">first working day</t>
  </si>
  <si>
    <t xml:space="preserve">Hardware distributors (30 days)</t>
  </si>
  <si>
    <t xml:space="preserve">Licence distributor (30 days)</t>
  </si>
  <si>
    <t xml:space="preserve">Tooling vendor in USD (wire on the 15th)</t>
  </si>
  <si>
    <t xml:space="preserve">15th (USD wire)</t>
  </si>
  <si>
    <t xml:space="preserve">Other suppliers incl. VAT and IT equipment (30 days)</t>
  </si>
  <si>
    <t xml:space="preserve">VAT (25th; the September payment covers June and July)</t>
  </si>
  <si>
    <t xml:space="preserve">25th (VAT)</t>
  </si>
  <si>
    <t xml:space="preserve">IRC payments on account (30 September and 15 December)</t>
  </si>
  <si>
    <t xml:space="preserve">IRC instalment (30 Sep, 15 Dec)</t>
  </si>
  <si>
    <t xml:space="preserve">Loan instalment: principal and interest (month end)</t>
  </si>
  <si>
    <t xml:space="preserve">TOTAL PAYMENTS</t>
  </si>
  <si>
    <t xml:space="preserve">NET CASH FLOW FOR THE WEEK</t>
  </si>
  <si>
    <t xml:space="preserve">ledger + actual to date</t>
  </si>
  <si>
    <t xml:space="preserve">CLOSING CASH</t>
  </si>
  <si>
    <t xml:space="preserve">CASH CONTROL</t>
  </si>
  <si>
    <t xml:space="preserve">HEADROOM / (SHORTFALL) VS BUFFER</t>
  </si>
  <si>
    <t xml:space="preserve">Low point in the 13 weeks</t>
  </si>
  <si>
    <t xml:space="preserve">Week ending of the low point</t>
  </si>
  <si>
    <t xml:space="preserve">Headroom at the low point (negative = action needed)</t>
  </si>
  <si>
    <t xml:space="preserve">Undrawn overdraft facility</t>
  </si>
  <si>
    <t xml:space="preserve">Facility headroom after covering any shortfall</t>
  </si>
  <si>
    <t xml:space="preserve">Social security, IRS, VAT and IRC paid in the window</t>
  </si>
  <si>
    <t xml:space="preserve">RECONCILIATION TO THE MONTHLY MODEL</t>
  </si>
  <si>
    <t xml:space="preserve">Closing cash at the end of week 13 (11-Dec-26)</t>
  </si>
  <si>
    <t xml:space="preserve">Add: December flows after 11-Dec (column W, by line)</t>
  </si>
  <si>
    <t xml:space="preserve">Implied cash at 31-Dec-26</t>
  </si>
  <si>
    <t xml:space="preserve">Cash at 31-Dec-26 per the monthly balance sheet</t>
  </si>
  <si>
    <t xml:space="preserve">CHECK: difference (must be zero)</t>
  </si>
  <si>
    <t xml:space="preserve">LEVERS IF THE LOW POINT BREACHES THE BUFFER, IN ORDER</t>
  </si>
  <si>
    <t xml:space="preserve">REVENUE BY STREAM AND SERVICE LINE, RECURRING REVENUE AND GROWTH</t>
  </si>
  <si>
    <t xml:space="preserve">Consolidates Contracts, Service_Desk, Licences, Hardware and Projects. Managed service fees are earned monthly as the service is delivered; SLA credits reduce revenue in the month of the service; onboarding fees are spread over the contract term; bundled and annual licences are sold as principal and licences delivered by the manufacturer as agent; hardware on delivery; projects over time.</t>
  </si>
  <si>
    <t xml:space="preserve">REVENUE BY STREAM (IFRS 15)</t>
  </si>
  <si>
    <t xml:space="preserve">BY SERVICE LINE</t>
  </si>
  <si>
    <t xml:space="preserve">Managed services (fees, SLA credits, onboarding, bundled licences)</t>
  </si>
  <si>
    <t xml:space="preserve">Licence resale (annual and agent)</t>
  </si>
  <si>
    <t xml:space="preserve">Recurring revenue (managed services and annual licences)</t>
  </si>
  <si>
    <t xml:space="preserve">Recurring revenue, share of revenue</t>
  </si>
  <si>
    <t xml:space="preserve">History for 2025</t>
  </si>
  <si>
    <t xml:space="preserve">Managed services growth on the same month a year earlier</t>
  </si>
  <si>
    <t xml:space="preserve">Gross billing of licences resold as agent (memo: not revenue)</t>
  </si>
  <si>
    <t xml:space="preserve">MANAGED SERVICE CONTRACTS: USERS, DEVICES, PRICE INDEX AND FEES BY CONTRACT (EXPECTED VALUES IN THE FORECAST)</t>
  </si>
  <si>
    <t xml:space="preserve">Fees = (users x price per user + devices x price per device) x price index. The index moves by the price review at each anniversary and by the renewal price change at each 36-month renewal. Renewals and pipeline deals are expected values at the probability on the Contract_Register. A: billing system and RMM counts; F: growth rates on the register x the scenario factor.</t>
  </si>
  <si>
    <t xml:space="preserve">USERS BY CONTRACT (A: RMM and billing; F: growth x scenario factor; at a 36-month renewal x the renewal probability; pipeline x win probability)</t>
  </si>
  <si>
    <t xml:space="preserve">C01 Brevanor Têxteis, S.A.</t>
  </si>
  <si>
    <t xml:space="preserve">A: RMM</t>
  </si>
  <si>
    <t xml:space="preserve">C02 Clínicas Almedra, Lda</t>
  </si>
  <si>
    <t xml:space="preserve">C03 Solvinha Calçado, Lda</t>
  </si>
  <si>
    <t xml:space="preserve">C04 Valcorra Advogados</t>
  </si>
  <si>
    <t xml:space="preserve">C05 Colégios Maravel</t>
  </si>
  <si>
    <t xml:space="preserve">C06 Metalúrgica Vaurinho, Lda</t>
  </si>
  <si>
    <t xml:space="preserve">C07 Quintas Delvara, S.A.</t>
  </si>
  <si>
    <t xml:space="preserve">C08 Farmácias Oliveda</t>
  </si>
  <si>
    <t xml:space="preserve">C09 Moldivel Plásticos, S.A.</t>
  </si>
  <si>
    <t xml:space="preserve">C10 Pravel Contabilidade, Lda</t>
  </si>
  <si>
    <t xml:space="preserve">C11 Hotéis Alvenosa</t>
  </si>
  <si>
    <t xml:space="preserve">C12 Cerâmicas Lovredo, S.A.</t>
  </si>
  <si>
    <t xml:space="preserve">C13 Castelvi Imobiliária</t>
  </si>
  <si>
    <t xml:space="preserve">C14 Agrícola Vinhedal</t>
  </si>
  <si>
    <t xml:space="preserve">C15 Engenharia Morvelo, Lda</t>
  </si>
  <si>
    <t xml:space="preserve">C16 Cooperativa Leiteira Bravanha</t>
  </si>
  <si>
    <t xml:space="preserve">C17 Laboratórios Cendral, Lda</t>
  </si>
  <si>
    <t xml:space="preserve">C18 Mediavir Seguros</t>
  </si>
  <si>
    <t xml:space="preserve">C19 Construtora Arvedo, S.A.</t>
  </si>
  <si>
    <t xml:space="preserve">C20 Distribuidora Pellano, Lda</t>
  </si>
  <si>
    <t xml:space="preserve">C21 Gráfica Tornavel, Lda</t>
  </si>
  <si>
    <t xml:space="preserve">C22 Óticas Lumarel</t>
  </si>
  <si>
    <t xml:space="preserve">C23 Salmeira Arquitetos</t>
  </si>
  <si>
    <t xml:space="preserve">C24 Traslovia Transportes, Lda</t>
  </si>
  <si>
    <t xml:space="preserve">C25 Conservas Brelmar, S.L.</t>
  </si>
  <si>
    <t xml:space="preserve">C26 Talleres Brañoso, S.L.</t>
  </si>
  <si>
    <t xml:space="preserve">C27 Clínica Veigadal, S.L.</t>
  </si>
  <si>
    <t xml:space="preserve">C28 Maderas Ouriñal, S.L.</t>
  </si>
  <si>
    <t xml:space="preserve">C29 Pesqueras Morazal, S.L.</t>
  </si>
  <si>
    <t xml:space="preserve">C30 Bodegas Quenlla, S.L.</t>
  </si>
  <si>
    <t xml:space="preserve">C31 Ferroval Automação, Lda</t>
  </si>
  <si>
    <t xml:space="preserve">C32 Clínica Dentária Rosmel</t>
  </si>
  <si>
    <t xml:space="preserve">C33 Mobiliário Tarvela, Lda</t>
  </si>
  <si>
    <t xml:space="preserve">P01 Grupo Hospitalar Venara (pipeline)</t>
  </si>
  <si>
    <t xml:space="preserve">win probability x counts</t>
  </si>
  <si>
    <t xml:space="preserve">P02 Exportadora Linhelo, S.A. (pipeline)</t>
  </si>
  <si>
    <t xml:space="preserve">P03 Logística Crastova, Lda (pipeline)</t>
  </si>
  <si>
    <t xml:space="preserve">P04 Conservas Galmira, S.L. (pipeline)</t>
  </si>
  <si>
    <t xml:space="preserve">DEVICES BY CONTRACT (servers, network devices and managed endpoints billed per device; growth at half the user rate)</t>
  </si>
  <si>
    <t xml:space="preserve">C01</t>
  </si>
  <si>
    <t xml:space="preserve">C02</t>
  </si>
  <si>
    <t xml:space="preserve">C03</t>
  </si>
  <si>
    <t xml:space="preserve">C04</t>
  </si>
  <si>
    <t xml:space="preserve">C05</t>
  </si>
  <si>
    <t xml:space="preserve">C06</t>
  </si>
  <si>
    <t xml:space="preserve">C07</t>
  </si>
  <si>
    <t xml:space="preserve">C08</t>
  </si>
  <si>
    <t xml:space="preserve">C09</t>
  </si>
  <si>
    <t xml:space="preserve">C10</t>
  </si>
  <si>
    <t xml:space="preserve">C11</t>
  </si>
  <si>
    <t xml:space="preserve">C12</t>
  </si>
  <si>
    <t xml:space="preserve">C13</t>
  </si>
  <si>
    <t xml:space="preserve">C14</t>
  </si>
  <si>
    <t xml:space="preserve">C15</t>
  </si>
  <si>
    <t xml:space="preserve">C16</t>
  </si>
  <si>
    <t xml:space="preserve">C17</t>
  </si>
  <si>
    <t xml:space="preserve">C18</t>
  </si>
  <si>
    <t xml:space="preserve">C19</t>
  </si>
  <si>
    <t xml:space="preserve">C20</t>
  </si>
  <si>
    <t xml:space="preserve">C21</t>
  </si>
  <si>
    <t xml:space="preserve">C22</t>
  </si>
  <si>
    <t xml:space="preserve">C23</t>
  </si>
  <si>
    <t xml:space="preserve">C24</t>
  </si>
  <si>
    <t xml:space="preserve">C25</t>
  </si>
  <si>
    <t xml:space="preserve">C26</t>
  </si>
  <si>
    <t xml:space="preserve">C27</t>
  </si>
  <si>
    <t xml:space="preserve">C28</t>
  </si>
  <si>
    <t xml:space="preserve">C29</t>
  </si>
  <si>
    <t xml:space="preserve">C30</t>
  </si>
  <si>
    <t xml:space="preserve">C31</t>
  </si>
  <si>
    <t xml:space="preserve">C32</t>
  </si>
  <si>
    <t xml:space="preserve">C33</t>
  </si>
  <si>
    <t xml:space="preserve">P01</t>
  </si>
  <si>
    <t xml:space="preserve">P02</t>
  </si>
  <si>
    <t xml:space="preserve">P03</t>
  </si>
  <si>
    <t xml:space="preserve">P04</t>
  </si>
  <si>
    <t xml:space="preserve">PRICE INDEX BY CONTRACT (1.000 = price at 31-Dec-25 or at signature; A: fees / (users x price + devices x price))</t>
  </si>
  <si>
    <t xml:space="preserve">anniversary review, renewal change</t>
  </si>
  <si>
    <t xml:space="preserve">MANAGED SERVICE FEES BY CONTRACT (EUR a month, invoiced monthly in advance)</t>
  </si>
  <si>
    <t xml:space="preserve">A: billing; F: counts x prices x index</t>
  </si>
  <si>
    <t xml:space="preserve">P01 (pipeline)</t>
  </si>
  <si>
    <t xml:space="preserve">P02 (pipeline)</t>
  </si>
  <si>
    <t xml:space="preserve">P03 (pipeline)</t>
  </si>
  <si>
    <t xml:space="preserve">P04 (pipeline)</t>
  </si>
  <si>
    <t xml:space="preserve">TOTALS</t>
  </si>
  <si>
    <t xml:space="preserve">MANAGED USERS</t>
  </si>
  <si>
    <t xml:space="preserve">MANAGED DEVICES</t>
  </si>
  <si>
    <t xml:space="preserve">MANAGED SERVICE FEES (MRR)</t>
  </si>
  <si>
    <t xml:space="preserve">Fees: customers in Portugal</t>
  </si>
  <si>
    <t xml:space="preserve">Share of fees in Portugal</t>
  </si>
  <si>
    <t xml:space="preserve">Users: customers in Portugal</t>
  </si>
  <si>
    <t xml:space="preserve">Share of users in Portugal</t>
  </si>
  <si>
    <t xml:space="preserve">Contracts billing (pipeline counted from the start month)</t>
  </si>
  <si>
    <t xml:space="preserve">Users of contracts starting in the month (expected for pipeline)</t>
  </si>
  <si>
    <t xml:space="preserve">onboarding hours</t>
  </si>
  <si>
    <t xml:space="preserve">First-year fees of contracts starting in the month (commission base)</t>
  </si>
  <si>
    <t xml:space="preserve">fees x 12</t>
  </si>
  <si>
    <t xml:space="preserve">Fees reaching a 36-month renewal in the month (prior month fees)</t>
  </si>
  <si>
    <t xml:space="preserve">Fees lost at renewal (A: contracts not renewed; F: expected, fees x (1 - probability))</t>
  </si>
  <si>
    <t xml:space="preserve">Net revenue retention: fees now of contracts billing a year earlier / their fees then</t>
  </si>
  <si>
    <t xml:space="preserve">Gross revenue retention: as above, each contract capped at its fees a year earlier</t>
  </si>
  <si>
    <t xml:space="preserve">ONBOARDING FEES (billed at contract start; not a distinct service, so recognised over the 36-month term: IFRS 15.B48 to B51)</t>
  </si>
  <si>
    <t xml:space="preserve">Onboarding fees billed</t>
  </si>
  <si>
    <t xml:space="preserve">register: contracts starting in the month</t>
  </si>
  <si>
    <t xml:space="preserve">of which customers in Portugal</t>
  </si>
  <si>
    <t xml:space="preserve">fee / 36 for each month of the term</t>
  </si>
  <si>
    <t xml:space="preserve">CONTRACT LIABILITY: ONBOARDING FEES DEFERRED</t>
  </si>
  <si>
    <t xml:space="preserve">opening + billed - recognised</t>
  </si>
  <si>
    <t xml:space="preserve">Per contract schedule: fees x months of the term still to run / 36</t>
  </si>
  <si>
    <t xml:space="preserve">independent calculation</t>
  </si>
  <si>
    <t xml:space="preserve">Check: roll-forward less schedule (must be zero)</t>
  </si>
  <si>
    <t xml:space="preserve">SERVICE DESK: TICKETS, HOURS, CAPACITY, UTILISATION, SLA ATTAINMENT AND SLA CREDITS</t>
  </si>
  <si>
    <t xml:space="preserve">Demand = tickets x hours by priority + proactive work (patching, monitoring, backups, endpoint management) + onboarding of new users. Capacity = service desk FTE x productive hours x (1 - holiday share). Above the utilisation knee SLA attainment falls; the share of fees in breach earns the customer a credit of 5% of the monthly fee, a variable consideration that reduces revenue in the month of the service (IFRS 15.50 to 59). A: PSA and credit notes; F: rates on Assumptions.</t>
  </si>
  <si>
    <t xml:space="preserve">VOLUME</t>
  </si>
  <si>
    <t xml:space="preserve">Tickets logged</t>
  </si>
  <si>
    <t xml:space="preserve">A: PSA; F: (users x rate + devices x rate) x seasonality</t>
  </si>
  <si>
    <t xml:space="preserve">Tickets per 100 users and devices</t>
  </si>
  <si>
    <t xml:space="preserve">HOURS</t>
  </si>
  <si>
    <t xml:space="preserve">Ticket hours: P1</t>
  </si>
  <si>
    <t xml:space="preserve">tickets x share x hours per ticket</t>
  </si>
  <si>
    <t xml:space="preserve">Ticket hours: P2</t>
  </si>
  <si>
    <t xml:space="preserve">Ticket hours: P3</t>
  </si>
  <si>
    <t xml:space="preserve">Ticket hours: P4</t>
  </si>
  <si>
    <t xml:space="preserve">Ticket hours</t>
  </si>
  <si>
    <t xml:space="preserve">Proactive hours (patching, monitoring, backups, endpoint management)</t>
  </si>
  <si>
    <t xml:space="preserve">counts x hours x (1 - deferred share x holiday share)</t>
  </si>
  <si>
    <t xml:space="preserve">Onboarding hours (users of new contracts)</t>
  </si>
  <si>
    <t xml:space="preserve">new users x hours</t>
  </si>
  <si>
    <t xml:space="preserve">DEMAND HOURS</t>
  </si>
  <si>
    <t xml:space="preserve">CAPACITY, UTILISATION AND SLA</t>
  </si>
  <si>
    <t xml:space="preserve">Service desk FTE (analysts, engineers, field technicians, NOC)</t>
  </si>
  <si>
    <t xml:space="preserve">Capacity hours</t>
  </si>
  <si>
    <t xml:space="preserve">FTE x productive hours x (1 - holiday share)</t>
  </si>
  <si>
    <t xml:space="preserve">UTILISATION</t>
  </si>
  <si>
    <t xml:space="preserve">demand / capacity</t>
  </si>
  <si>
    <t xml:space="preserve">SLA attainment (share of tickets inside response and resolution times)</t>
  </si>
  <si>
    <t xml:space="preserve">A: PSA; F: maximum - slope x (utilisation - knee)</t>
  </si>
  <si>
    <t xml:space="preserve">Share of fees in breach</t>
  </si>
  <si>
    <t xml:space="preserve">(target - attainment) / band, between 0 and 100%</t>
  </si>
  <si>
    <t xml:space="preserve">SLA CREDITS FOR THE MONTH (revenue reduction)</t>
  </si>
  <si>
    <t xml:space="preserve">A: credit notes; F: fees x breach share x credit rate</t>
  </si>
  <si>
    <t xml:space="preserve">Credited on the next invoice (credits of the prior month)</t>
  </si>
  <si>
    <t xml:space="preserve">SLA CREDITS DUE TO CUSTOMERS (liability)</t>
  </si>
  <si>
    <t xml:space="preserve">opening + credits - credited</t>
  </si>
  <si>
    <t xml:space="preserve">Check: liability equals the credits of the month (must be zero)</t>
  </si>
  <si>
    <t xml:space="preserve">SLA credits, % of managed service fees</t>
  </si>
  <si>
    <t xml:space="preserve">PRODUCTIVITY</t>
  </si>
  <si>
    <t xml:space="preserve">FTE needed to bring utilisation to the knee</t>
  </si>
  <si>
    <t xml:space="preserve">demand / (productive hours x (1 - holidays) x knee)</t>
  </si>
  <si>
    <t xml:space="preserve">FTE short (+) or spare (-) against the knee</t>
  </si>
  <si>
    <t xml:space="preserve">PROJECTS: HOURS, PROGRESS, REVENUE, BILLING, CONTRACT BALANCES AND THE ONEROUS PROVISION BY PROJECT</t>
  </si>
  <si>
    <t xml:space="preserve">Fixed fee: revenue = fee x hours to date / hours at completion (input method, IFRS 15.B18 to B19), so a change in the estimate is a cumulative catch-up in the month (IFRS 15.88); milestones 30% at start, 40% at half way, 30% at completion. A loss-making contract carries a provision for the unavoidable loss at standard cost (IAS 37.66 to 69 and 68A). Time and materials: hours x rate, billed monthly. F: remaining hours spread to the planned completion; work not yet identified fills the scenario run-rate.</t>
  </si>
  <si>
    <t xml:space="preserve">OWN HOURS BY PROJECT (A: timesheets; F: remaining estimate spread to the planned completion)</t>
  </si>
  <si>
    <t xml:space="preserve">J01 ERP infrastructure and cloud migration (FF)</t>
  </si>
  <si>
    <t xml:space="preserve">J02 Clinic network and Wi-Fi refresh (FF)</t>
  </si>
  <si>
    <t xml:space="preserve">J03 Server virtualisation (FF)</t>
  </si>
  <si>
    <t xml:space="preserve">J04 Security hardening and SOC onboarding (TM)</t>
  </si>
  <si>
    <t xml:space="preserve">J05 Construction site connectivity (TM)</t>
  </si>
  <si>
    <t xml:space="preserve">J06 Onboarding and migration (FF)</t>
  </si>
  <si>
    <t xml:space="preserve">J07 Productivity suite tenant migration (FF)</t>
  </si>
  <si>
    <t xml:space="preserve">J08 Store network upgrade (signed Aug-26) (FF)</t>
  </si>
  <si>
    <t xml:space="preserve">J09 Backup and disaster recovery (TM)</t>
  </si>
  <si>
    <t xml:space="preserve">J10 Onboarding and migration (FF)</t>
  </si>
  <si>
    <t xml:space="preserve">J11 ERP hosting move (FF)</t>
  </si>
  <si>
    <t xml:space="preserve">J12 Onboarding and migration (FF)</t>
  </si>
  <si>
    <t xml:space="preserve">SUBCONTRACT HOURS BY PROJECT (A: subcontractor invoices)</t>
  </si>
  <si>
    <t xml:space="preserve">J01</t>
  </si>
  <si>
    <t xml:space="preserve">J02</t>
  </si>
  <si>
    <t xml:space="preserve">J03</t>
  </si>
  <si>
    <t xml:space="preserve">J04</t>
  </si>
  <si>
    <t xml:space="preserve">J05</t>
  </si>
  <si>
    <t xml:space="preserve">J06</t>
  </si>
  <si>
    <t xml:space="preserve">J07</t>
  </si>
  <si>
    <t xml:space="preserve">J08</t>
  </si>
  <si>
    <t xml:space="preserve">J09</t>
  </si>
  <si>
    <t xml:space="preserve">J10</t>
  </si>
  <si>
    <t xml:space="preserve">J11</t>
  </si>
  <si>
    <t xml:space="preserve">J12</t>
  </si>
  <si>
    <t xml:space="preserve">OWN HOURS TO DATE</t>
  </si>
  <si>
    <t xml:space="preserve">SUBCONTRACT HOURS TO DATE</t>
  </si>
  <si>
    <t xml:space="preserve">PROGRESS: HOURS TO DATE / HOURS AT COMPLETION (A: revenue to date / fee for fixed-fee projects)</t>
  </si>
  <si>
    <t xml:space="preserve">REVENUE BY PROJECT (A: project ledger; F: fixed fee = fee x progress - revenue to date; T&amp;M = hours x rate)</t>
  </si>
  <si>
    <t xml:space="preserve">REVENUE TO DATE</t>
  </si>
  <si>
    <t xml:space="preserve">BILLING BY PROJECT (fixed fee: 30% at start, 70% at half way, 100% at completion; T&amp;M monthly)</t>
  </si>
  <si>
    <t xml:space="preserve">BILLED TO DATE</t>
  </si>
  <si>
    <t xml:space="preserve">CONTRACT POSITION BY PROJECT (+ billed ahead of progress: contract liability; - progress ahead of billing: contract asset)</t>
  </si>
  <si>
    <t xml:space="preserve">ONEROUS CONTRACT PROVISION BY PROJECT (remaining cost at standard less remaining revenue, if positive)</t>
  </si>
  <si>
    <t xml:space="preserve">SIGNED PROJECTS: TOTALS</t>
  </si>
  <si>
    <t xml:space="preserve">Own hours</t>
  </si>
  <si>
    <t xml:space="preserve">Subcontract hours</t>
  </si>
  <si>
    <t xml:space="preserve">Revenue: signed projects</t>
  </si>
  <si>
    <t xml:space="preserve">Billing: signed projects</t>
  </si>
  <si>
    <t xml:space="preserve">Contract assets: progress ahead of billing</t>
  </si>
  <si>
    <t xml:space="preserve">Check: change in net position equals billing less revenue (must be zero)</t>
  </si>
  <si>
    <t xml:space="preserve">PROVISION: ONEROUS PROJECTS</t>
  </si>
  <si>
    <t xml:space="preserve">Movement in the provision (charged to cost of revenue; released as the loss-making work is done)</t>
  </si>
  <si>
    <t xml:space="preserve">Signed backlog: revenue still to recognise on signed projects</t>
  </si>
  <si>
    <t xml:space="preserve">fixed fee: fee - revenue to date; T&amp;M: remaining hours x rate</t>
  </si>
  <si>
    <t xml:space="preserve">WORK NOT YET IDENTIFIED (fills the gap to the scenario run-rate from the first month on Assumptions; T&amp;M, billed monthly)</t>
  </si>
  <si>
    <t xml:space="preserve">MAX(0, run-rate x seasonality - signed revenue)</t>
  </si>
  <si>
    <t xml:space="preserve">Hours</t>
  </si>
  <si>
    <t xml:space="preserve">revenue / realised rate</t>
  </si>
  <si>
    <t xml:space="preserve">hours x own share</t>
  </si>
  <si>
    <t xml:space="preserve">THE DISPUTED J11 FINAL MILESTONE (credit note, if any, reduces revenue when agreed)</t>
  </si>
  <si>
    <t xml:space="preserve">Credit note on the disputed J11 milestone</t>
  </si>
  <si>
    <t xml:space="preserve">PROJECTS: TOTALS</t>
  </si>
  <si>
    <t xml:space="preserve">PROJECT REVENUE</t>
  </si>
  <si>
    <t xml:space="preserve">signed + new + credit notes</t>
  </si>
  <si>
    <t xml:space="preserve">Project billing (ex VAT)</t>
  </si>
  <si>
    <t xml:space="preserve">signed + new</t>
  </si>
  <si>
    <t xml:space="preserve">register country; new work at the Portugal share</t>
  </si>
  <si>
    <t xml:space="preserve">Own hours (signed and new)</t>
  </si>
  <si>
    <t xml:space="preserve">Subcontract hours (signed and new)</t>
  </si>
  <si>
    <t xml:space="preserve">Cabling and electrical subcontractors</t>
  </si>
  <si>
    <t xml:space="preserve">A: supplier invoices; F: monthly level x inflation</t>
  </si>
  <si>
    <t xml:space="preserve">SUBCONTRACTORS</t>
  </si>
  <si>
    <t xml:space="preserve">hours x rate + cabling</t>
  </si>
  <si>
    <t xml:space="preserve">Project team FTE (project engineers and managers)</t>
  </si>
  <si>
    <t xml:space="preserve">Project team utilisation (own hours / productive hours)</t>
  </si>
  <si>
    <t xml:space="preserve">HARDWARE RESALE: REVENUE, MARGIN, STOCK AND PURCHASES (PRINCIPAL)</t>
  </si>
  <si>
    <t xml:space="preserve">The company buys, holds, configures and delivers the hardware and sets the price, so it is principal (IFRS 15.B37) and revenue is recognised on delivery. Distributor rebates reduce the cost (Rebates). A: ledger and stock count; F: run-rate x seasonality x the scenario demand factor, margin before rebates from the scenario, stock at the days of cost on Assumptions.</t>
  </si>
  <si>
    <t xml:space="preserve">HARDWARE REVENUE</t>
  </si>
  <si>
    <t xml:space="preserve">A: ledger; F: run-rate x seasonality x demand factor</t>
  </si>
  <si>
    <t xml:space="preserve">Cost of hardware sold before rebates</t>
  </si>
  <si>
    <t xml:space="preserve">A: ledger; F: revenue x (1 - margin)</t>
  </si>
  <si>
    <t xml:space="preserve">Gross margin before rebates</t>
  </si>
  <si>
    <t xml:space="preserve">Margin % before rebates</t>
  </si>
  <si>
    <t xml:space="preserve">Distributor rebate accrued</t>
  </si>
  <si>
    <t xml:space="preserve">COST OF HARDWARE NET OF REBATES</t>
  </si>
  <si>
    <t xml:space="preserve">Gross margin after rebates</t>
  </si>
  <si>
    <t xml:space="preserve">Margin % after rebates</t>
  </si>
  <si>
    <t xml:space="preserve">STOCK AT MONTH END</t>
  </si>
  <si>
    <t xml:space="preserve">A: count; F: cost x days / days in month</t>
  </si>
  <si>
    <t xml:space="preserve">Purchases</t>
  </si>
  <si>
    <t xml:space="preserve">cost + closing stock - opening stock</t>
  </si>
  <si>
    <t xml:space="preserve">Revenue from customers in Spain (exempt intra-EU supply)</t>
  </si>
  <si>
    <t xml:space="preserve">revenue x share</t>
  </si>
  <si>
    <t xml:space="preserve">LICENCES: BUNDLED IN MANAGED CONTRACTS, ANNUAL SUBSCRIPTIONS BILLED A YEAR AHEAD, AND LICENCES RESOLD AS AGENT</t>
  </si>
  <si>
    <t xml:space="preserve">Bundled per-user subscriptions are provisioned and supported inside the managed contract: principal, revenue monthly. Annual security and backup subscriptions are bought in the company name and managed by it: principal; billed a year ahead, so revenue and the prepaid vendor cost are spread over 12 months. Standard licences the manufacturer delivers straight to the customer are never controlled by the company: agent, revenue is the net commission (IFRS 15.B34 to B38; IFRIC agenda decision on software resellers, 2022).</t>
  </si>
  <si>
    <t xml:space="preserve">BUNDLED LICENCES (principal)</t>
  </si>
  <si>
    <t xml:space="preserve">A: billing; F: users x cover x price</t>
  </si>
  <si>
    <t xml:space="preserve">Vendor cost</t>
  </si>
  <si>
    <t xml:space="preserve">A: distributor invoices; F: users x cover x cost</t>
  </si>
  <si>
    <t xml:space="preserve">ANNUAL LICENCES (principal, billed a year ahead, recognised over 12 months)</t>
  </si>
  <si>
    <t xml:space="preserve">Billed to customers</t>
  </si>
  <si>
    <t xml:space="preserve">A: billing; F: same month a year earlier x (1 + change)</t>
  </si>
  <si>
    <t xml:space="preserve">REVENUE (billings of the last 12 months / 12)</t>
  </si>
  <si>
    <t xml:space="preserve">CONTRACT LIABILITY: ANNUAL LICENCES BILLED AHEAD</t>
  </si>
  <si>
    <t xml:space="preserve">opening + billed - revenue</t>
  </si>
  <si>
    <t xml:space="preserve">Per billing schedule: billings of the last 11 months x months still to run / 12</t>
  </si>
  <si>
    <t xml:space="preserve">Vendor cost invoiced (prepaid for the year)</t>
  </si>
  <si>
    <t xml:space="preserve">billed x (1 - margin)</t>
  </si>
  <si>
    <t xml:space="preserve">Vendor cost recognised</t>
  </si>
  <si>
    <t xml:space="preserve">revenue x (1 - margin)</t>
  </si>
  <si>
    <t xml:space="preserve">PREPAID ANNUAL LICENCE COSTS</t>
  </si>
  <si>
    <t xml:space="preserve">opening + invoiced - recognised</t>
  </si>
  <si>
    <t xml:space="preserve">Check: prepaid cost equals the contract liability x (1 - margin) (must be zero)</t>
  </si>
  <si>
    <t xml:space="preserve">LICENCES RESOLD AS AGENT (net)</t>
  </si>
  <si>
    <t xml:space="preserve">Gross billing to customers (memo: not revenue)</t>
  </si>
  <si>
    <t xml:space="preserve">A: billing; F: run-rate x seasonality x factor</t>
  </si>
  <si>
    <t xml:space="preserve">Due to the vendor (gross less commission)</t>
  </si>
  <si>
    <t xml:space="preserve">Commission</t>
  </si>
  <si>
    <t xml:space="preserve">gross x commission rate</t>
  </si>
  <si>
    <t xml:space="preserve">Vendor incentive on agent sales</t>
  </si>
  <si>
    <t xml:space="preserve">AGENT REVENUE (commission + incentive)</t>
  </si>
  <si>
    <t xml:space="preserve">Licence distributor invoices, ex VAT (bundled + annual + agent)</t>
  </si>
  <si>
    <t xml:space="preserve">LICENCE COST NET OF VENDOR INCENTIVES (bundled + annual recognised - incentive on principal licences)</t>
  </si>
  <si>
    <t xml:space="preserve">VENDOR REBATES: DISTRIBUTOR VOLUME REBATE BY QUARTERLY TIER AND LICENCE VENDOR INCENTIVES</t>
  </si>
  <si>
    <t xml:space="preserve">Hardware distributor: 1.5% of the quarter purchases from EUR 450k and 2.5% from EUR 650k, on the whole quarter, paid at the end of the second month after it. Accrued monthly at the rate the full quarter is expected to earn, with a catch-up when the expected tier changes; rebates reduce the cost of the hardware (IAS 2.11). Licence vendor: 3% of licence purchases, paid in the second month after the quarter; on licences resold as agent the incentive is part of the agent revenue.</t>
  </si>
  <si>
    <t xml:space="preserve">HARDWARE DISTRIBUTOR REBATE</t>
  </si>
  <si>
    <t xml:space="preserve">Hardware purchases</t>
  </si>
  <si>
    <t xml:space="preserve">Purchases in the quarter (actual and forecast months)</t>
  </si>
  <si>
    <t xml:space="preserve">Tier rate the quarter earns</t>
  </si>
  <si>
    <t xml:space="preserve">Purchases in the quarter to date</t>
  </si>
  <si>
    <t xml:space="preserve">REBATE ACCRUED</t>
  </si>
  <si>
    <t xml:space="preserve">A: CFO estimate; F: rate x quarter to date - accrued earlier in the quarter</t>
  </si>
  <si>
    <t xml:space="preserve">Accrued in the quarter to date</t>
  </si>
  <si>
    <t xml:space="preserve">Rebate received (end of the second month after the quarter)</t>
  </si>
  <si>
    <t xml:space="preserve">A: bank; F: accrual of the prior quarter</t>
  </si>
  <si>
    <t xml:space="preserve">LICENCE VENDOR INCENTIVES</t>
  </si>
  <si>
    <t xml:space="preserve">Incentive on principal licences (reduces licence cost)</t>
  </si>
  <si>
    <t xml:space="preserve">A: vendor statement; F: rate x (bundled cost + annual cost invoiced)</t>
  </si>
  <si>
    <t xml:space="preserve">of which on bundled licences (managed services)</t>
  </si>
  <si>
    <t xml:space="preserve">by vendor cost</t>
  </si>
  <si>
    <t xml:space="preserve">of which on annual licences (licence resale)</t>
  </si>
  <si>
    <t xml:space="preserve">Incentive on licences resold as agent (agent revenue)</t>
  </si>
  <si>
    <t xml:space="preserve">A: vendor statement; F: rate x amount due to the vendor</t>
  </si>
  <si>
    <t xml:space="preserve">Incentives received (second month after the quarter)</t>
  </si>
  <si>
    <t xml:space="preserve">A: bank; F: accruals of the prior quarter</t>
  </si>
  <si>
    <t xml:space="preserve">RECEIVABLE</t>
  </si>
  <si>
    <t xml:space="preserve">Rebates and incentives accrued</t>
  </si>
  <si>
    <t xml:space="preserve">REBATES AND INCENTIVES RECEIVABLE</t>
  </si>
  <si>
    <t xml:space="preserve">opening + accrued - received</t>
  </si>
  <si>
    <t xml:space="preserve">Check: receivable equals the accruals of quarters not yet paid (must be zero)</t>
  </si>
  <si>
    <t xml:space="preserve">Hardware rebate earned, % of purchases</t>
  </si>
  <si>
    <t xml:space="preserve">GROSS MARGIN BY SERVICE LINE (the Contract_Register holds the contribution by managed service contract)</t>
  </si>
  <si>
    <t xml:space="preserve">Managed services carry the service delivery team, tooling, colocation, field vans and the bundled licence cost net of its vendor incentive; hardware its cost net of distributor rebates; licence resale the annual licence cost net of its incentive (agent revenue is already net); projects the project team, subcontractors and the onerous provision. The service lines add up to the P&amp;L gross profit.</t>
  </si>
  <si>
    <t xml:space="preserve">MANAGED SERVICES</t>
  </si>
  <si>
    <t xml:space="preserve">Revenue (fees, SLA credits, onboarding, bundled licences)</t>
  </si>
  <si>
    <t xml:space="preserve">Service tooling</t>
  </si>
  <si>
    <t xml:space="preserve">Bundled licence cost net of its vendor incentive</t>
  </si>
  <si>
    <t xml:space="preserve">Licences, Rebates</t>
  </si>
  <si>
    <t xml:space="preserve">GROSS MARGIN: MANAGED SERVICES</t>
  </si>
  <si>
    <t xml:space="preserve">HARDWARE</t>
  </si>
  <si>
    <t xml:space="preserve">Cost before rebates</t>
  </si>
  <si>
    <t xml:space="preserve">Distributor rebate</t>
  </si>
  <si>
    <t xml:space="preserve">GROSS MARGIN: HARDWARE</t>
  </si>
  <si>
    <t xml:space="preserve">LICENCE RESALE (annual licences as principal, other licences as agent)</t>
  </si>
  <si>
    <t xml:space="preserve">Annual licence cost recognised, net of its vendor incentive</t>
  </si>
  <si>
    <t xml:space="preserve">GROSS MARGIN: LICENCE RESALE</t>
  </si>
  <si>
    <t xml:space="preserve">PROJECTS</t>
  </si>
  <si>
    <t xml:space="preserve">Onerous provision movement</t>
  </si>
  <si>
    <t xml:space="preserve">GROSS MARGIN: PROJECTS</t>
  </si>
  <si>
    <t xml:space="preserve">RECONCILIATION TO THE P&amp;L</t>
  </si>
  <si>
    <t xml:space="preserve">sum of the service lines</t>
  </si>
  <si>
    <t xml:space="preserve">Check: service lines less the P&amp;L gross profit (must be zero)</t>
  </si>
  <si>
    <t xml:space="preserve">Managed services share of gross profit</t>
  </si>
  <si>
    <t xml:space="preserve">PEOPLE: HEADCOUNT, PORTUGUESE PAYROLL (14 SALARIES), SOCIAL SECURITY, IRS WITHHOLDING, HOLIDAY AND CHRISTMAS ACCRUALS, COMMISSIONS (EUR)</t>
  </si>
  <si>
    <t xml:space="preserve">Bands on Assumptions. Salaries are paid 14 times: 12 months, the holiday allowance with the June payroll and the Christmas allowance with the November payroll. Holiday pay and both allowances accrue as the work is done (IAS 19). TSU 23.75% employer and 11% employee on what is paid; IRS withheld at the Tabela I rate of the band. A: payroll journal by department; F: bands.</t>
  </si>
  <si>
    <t xml:space="preserve">HEADCOUNT BY BAND (A: payroll; F: prior + planned hires x scenario factor - leavers + leavers replaced two months later)</t>
  </si>
  <si>
    <t xml:space="preserve">Service desk analysts</t>
  </si>
  <si>
    <t xml:space="preserve">A: payroll</t>
  </si>
  <si>
    <t xml:space="preserve">Support engineers</t>
  </si>
  <si>
    <t xml:space="preserve">Systems engineers</t>
  </si>
  <si>
    <t xml:space="preserve">Field technicians</t>
  </si>
  <si>
    <t xml:space="preserve">NOC and security analysts</t>
  </si>
  <si>
    <t xml:space="preserve">Service delivery managers</t>
  </si>
  <si>
    <t xml:space="preserve">Project engineers</t>
  </si>
  <si>
    <t xml:space="preserve">Project managers</t>
  </si>
  <si>
    <t xml:space="preserve">Sales director</t>
  </si>
  <si>
    <t xml:space="preserve">Account managers</t>
  </si>
  <si>
    <t xml:space="preserve">Presales engineer</t>
  </si>
  <si>
    <t xml:space="preserve">Marketing</t>
  </si>
  <si>
    <t xml:space="preserve">Directors (CEO and CTO, founders)</t>
  </si>
  <si>
    <t xml:space="preserve">Finance</t>
  </si>
  <si>
    <t xml:space="preserve">People and HR</t>
  </si>
  <si>
    <t xml:space="preserve">Procurement and logistics</t>
  </si>
  <si>
    <t xml:space="preserve">Office administration</t>
  </si>
  <si>
    <t xml:space="preserve">TOTAL HEADCOUNT</t>
  </si>
  <si>
    <t xml:space="preserve">Service desk FTE (analysts, support and systems engineers, field technicians, NOC)</t>
  </si>
  <si>
    <t xml:space="preserve">LEAVERS (forecast; fractional FTE)</t>
  </si>
  <si>
    <t xml:space="preserve">prior headcount x annual rate / 12 x factor</t>
  </si>
  <si>
    <t xml:space="preserve">Hires in the month (A: from the payroll; F: planned and replacements)</t>
  </si>
  <si>
    <t xml:space="preserve">Planned hires in the month (hiring plan x scenario factor)</t>
  </si>
  <si>
    <t xml:space="preserve">Leavers in the month (A: from the payroll; F: attrition)</t>
  </si>
  <si>
    <t xml:space="preserve">PAY BY BAND (forecast basis; actual months are memo, the payroll journal by department is used)</t>
  </si>
  <si>
    <t xml:space="preserve">L1: base salaries</t>
  </si>
  <si>
    <t xml:space="preserve">headcount x monthly salary (+ pay review in 2027)</t>
  </si>
  <si>
    <t xml:space="preserve">L2: base salaries</t>
  </si>
  <si>
    <t xml:space="preserve">L3: base salaries</t>
  </si>
  <si>
    <t xml:space="preserve">FLD: base salaries</t>
  </si>
  <si>
    <t xml:space="preserve">NOC: base salaries</t>
  </si>
  <si>
    <t xml:space="preserve">SDM: base salaries</t>
  </si>
  <si>
    <t xml:space="preserve">PEN: base salaries</t>
  </si>
  <si>
    <t xml:space="preserve">PM: base salaries</t>
  </si>
  <si>
    <t xml:space="preserve">SD: base salaries</t>
  </si>
  <si>
    <t xml:space="preserve">AM: base salaries</t>
  </si>
  <si>
    <t xml:space="preserve">PSE: base salaries</t>
  </si>
  <si>
    <t xml:space="preserve">MKT: base salaries</t>
  </si>
  <si>
    <t xml:space="preserve">DIR: base salaries</t>
  </si>
  <si>
    <t xml:space="preserve">FIN: base salaries</t>
  </si>
  <si>
    <t xml:space="preserve">HR: base salaries</t>
  </si>
  <si>
    <t xml:space="preserve">PRC: base salaries</t>
  </si>
  <si>
    <t xml:space="preserve">ADM: base salaries</t>
  </si>
  <si>
    <t xml:space="preserve">L1: IRS withholding rate</t>
  </si>
  <si>
    <t xml:space="preserve">Tabela I on the monthly salary</t>
  </si>
  <si>
    <t xml:space="preserve">L2: IRS withholding rate</t>
  </si>
  <si>
    <t xml:space="preserve">L3: IRS withholding rate</t>
  </si>
  <si>
    <t xml:space="preserve">FLD: IRS withholding rate</t>
  </si>
  <si>
    <t xml:space="preserve">NOC: IRS withholding rate</t>
  </si>
  <si>
    <t xml:space="preserve">SDM: IRS withholding rate</t>
  </si>
  <si>
    <t xml:space="preserve">PEN: IRS withholding rate</t>
  </si>
  <si>
    <t xml:space="preserve">PM: IRS withholding rate</t>
  </si>
  <si>
    <t xml:space="preserve">SD: IRS withholding rate</t>
  </si>
  <si>
    <t xml:space="preserve">AM: IRS withholding rate</t>
  </si>
  <si>
    <t xml:space="preserve">PSE: IRS withholding rate</t>
  </si>
  <si>
    <t xml:space="preserve">MKT: IRS withholding rate</t>
  </si>
  <si>
    <t xml:space="preserve">DIR: IRS withholding rate</t>
  </si>
  <si>
    <t xml:space="preserve">FIN: IRS withholding rate</t>
  </si>
  <si>
    <t xml:space="preserve">HR: IRS withholding rate</t>
  </si>
  <si>
    <t xml:space="preserve">PRC: IRS withholding rate</t>
  </si>
  <si>
    <t xml:space="preserve">ADM: IRS withholding rate</t>
  </si>
  <si>
    <t xml:space="preserve">PAYROLL BY DEPARTMENT (A: payroll journal; F: bands)</t>
  </si>
  <si>
    <t xml:space="preserve">Service delivery: headcount</t>
  </si>
  <si>
    <t xml:space="preserve">Service delivery: base salaries paid</t>
  </si>
  <si>
    <t xml:space="preserve">A: payroll; F: bands</t>
  </si>
  <si>
    <t xml:space="preserve">Service delivery: pay for holidays taken (released from the accrual)</t>
  </si>
  <si>
    <t xml:space="preserve">base x share of holidays taken</t>
  </si>
  <si>
    <t xml:space="preserve">Service delivery: Christmas allowance accrued</t>
  </si>
  <si>
    <t xml:space="preserve">base / 12</t>
  </si>
  <si>
    <t xml:space="preserve">Service delivery: holiday pay and holiday allowance accrued</t>
  </si>
  <si>
    <t xml:space="preserve">base x 2 / 12</t>
  </si>
  <si>
    <t xml:space="preserve">Service delivery: holiday allowance paid</t>
  </si>
  <si>
    <t xml:space="preserve">A: payroll; F: one month of salary in June</t>
  </si>
  <si>
    <t xml:space="preserve">Service delivery: Christmas allowance paid</t>
  </si>
  <si>
    <t xml:space="preserve">A: payroll; F: November = accrued + December; December true-up</t>
  </si>
  <si>
    <t xml:space="preserve">Service delivery: remuneration paid (TSU and IRS base)</t>
  </si>
  <si>
    <t xml:space="preserve">Service delivery: employer social security (TSU)</t>
  </si>
  <si>
    <t xml:space="preserve">A: payroll; F: remuneration x 23.75%</t>
  </si>
  <si>
    <t xml:space="preserve">Service delivery: employee social security (TSU)</t>
  </si>
  <si>
    <t xml:space="preserve">A: payroll; F: remuneration x 11%</t>
  </si>
  <si>
    <t xml:space="preserve">Service delivery: IRS withheld</t>
  </si>
  <si>
    <t xml:space="preserve">A: payroll; F: band rates x remuneration</t>
  </si>
  <si>
    <t xml:space="preserve">Service delivery: meal allowance (card, working days)</t>
  </si>
  <si>
    <t xml:space="preserve">A: payroll; F: headcount x daily rate x days worked</t>
  </si>
  <si>
    <t xml:space="preserve">Service delivery: work accident and health insurance</t>
  </si>
  <si>
    <t xml:space="preserve">A: payroll; F: health per head + work accident rate x pay</t>
  </si>
  <si>
    <t xml:space="preserve">Service delivery: net pay</t>
  </si>
  <si>
    <t xml:space="preserve">A: payroll; F: remuneration - employee TSU - IRS</t>
  </si>
  <si>
    <t xml:space="preserve">Service delivery: Christmas allowance accrued, incl. TSU (liability)</t>
  </si>
  <si>
    <t xml:space="preserve">opening + accrued - paid</t>
  </si>
  <si>
    <t xml:space="preserve">Service delivery: revaluation of the holiday accrual for the pay review</t>
  </si>
  <si>
    <t xml:space="preserve">by share of base salaries</t>
  </si>
  <si>
    <t xml:space="preserve">Service delivery: PAYROLL COST</t>
  </si>
  <si>
    <t xml:space="preserve">(base - holidays taken + accruals) x (1 + TSU) + meal + insurance</t>
  </si>
  <si>
    <t xml:space="preserve">Projects: headcount</t>
  </si>
  <si>
    <t xml:space="preserve">Projects: base salaries paid</t>
  </si>
  <si>
    <t xml:space="preserve">Projects: pay for holidays taken (released from the accrual)</t>
  </si>
  <si>
    <t xml:space="preserve">Projects: Christmas allowance accrued</t>
  </si>
  <si>
    <t xml:space="preserve">Projects: holiday pay and holiday allowance accrued</t>
  </si>
  <si>
    <t xml:space="preserve">Projects: holiday allowance paid</t>
  </si>
  <si>
    <t xml:space="preserve">Projects: Christmas allowance paid</t>
  </si>
  <si>
    <t xml:space="preserve">Projects: remuneration paid (TSU and IRS base)</t>
  </si>
  <si>
    <t xml:space="preserve">Projects: employer social security (TSU)</t>
  </si>
  <si>
    <t xml:space="preserve">Projects: employee social security (TSU)</t>
  </si>
  <si>
    <t xml:space="preserve">Projects: IRS withheld</t>
  </si>
  <si>
    <t xml:space="preserve">Projects: meal allowance (card, working days)</t>
  </si>
  <si>
    <t xml:space="preserve">Projects: work accident and health insurance</t>
  </si>
  <si>
    <t xml:space="preserve">Projects: net pay</t>
  </si>
  <si>
    <t xml:space="preserve">Projects: Christmas allowance accrued, incl. TSU (liability)</t>
  </si>
  <si>
    <t xml:space="preserve">Projects: revaluation of the holiday accrual for the pay review</t>
  </si>
  <si>
    <t xml:space="preserve">Projects: PAYROLL COST</t>
  </si>
  <si>
    <t xml:space="preserve">Sales and marketing: headcount</t>
  </si>
  <si>
    <t xml:space="preserve">Sales and marketing: base salaries paid</t>
  </si>
  <si>
    <t xml:space="preserve">Sales and marketing: pay for holidays taken (released from the accrual)</t>
  </si>
  <si>
    <t xml:space="preserve">Sales and marketing: Christmas allowance accrued</t>
  </si>
  <si>
    <t xml:space="preserve">Sales and marketing: holiday pay and holiday allowance accrued</t>
  </si>
  <si>
    <t xml:space="preserve">Sales and marketing: holiday allowance paid</t>
  </si>
  <si>
    <t xml:space="preserve">Sales and marketing: Christmas allowance paid</t>
  </si>
  <si>
    <t xml:space="preserve">Sales and marketing: commissions paid (earned the month before)</t>
  </si>
  <si>
    <t xml:space="preserve">A: payroll; F: prior month commissions</t>
  </si>
  <si>
    <t xml:space="preserve">Sales and marketing: remuneration paid (TSU and IRS base)</t>
  </si>
  <si>
    <t xml:space="preserve">Sales and marketing: employer social security (TSU)</t>
  </si>
  <si>
    <t xml:space="preserve">Sales and marketing: employee social security (TSU)</t>
  </si>
  <si>
    <t xml:space="preserve">Sales and marketing: IRS withheld</t>
  </si>
  <si>
    <t xml:space="preserve">Sales and marketing: meal allowance (card, working days)</t>
  </si>
  <si>
    <t xml:space="preserve">Sales and marketing: work accident and health insurance</t>
  </si>
  <si>
    <t xml:space="preserve">Sales and marketing: net pay</t>
  </si>
  <si>
    <t xml:space="preserve">Sales and marketing: Christmas allowance accrued, incl. TSU (liability)</t>
  </si>
  <si>
    <t xml:space="preserve">Sales and marketing: revaluation of the holiday accrual for the pay review</t>
  </si>
  <si>
    <t xml:space="preserve">Sales and marketing: PAYROLL COST</t>
  </si>
  <si>
    <t xml:space="preserve">General and administrative: headcount</t>
  </si>
  <si>
    <t xml:space="preserve">General and administrative: base salaries paid</t>
  </si>
  <si>
    <t xml:space="preserve">General and administrative: pay for holidays taken (released from the accrual)</t>
  </si>
  <si>
    <t xml:space="preserve">General and administrative: Christmas allowance accrued</t>
  </si>
  <si>
    <t xml:space="preserve">General and administrative: holiday pay and holiday allowance accrued</t>
  </si>
  <si>
    <t xml:space="preserve">General and administrative: holiday allowance paid</t>
  </si>
  <si>
    <t xml:space="preserve">General and administrative: Christmas allowance paid</t>
  </si>
  <si>
    <t xml:space="preserve">General and administrative: remuneration paid (TSU and IRS base)</t>
  </si>
  <si>
    <t xml:space="preserve">General and administrative: employer social security (TSU)</t>
  </si>
  <si>
    <t xml:space="preserve">General and administrative: employee social security (TSU)</t>
  </si>
  <si>
    <t xml:space="preserve">General and administrative: IRS withheld</t>
  </si>
  <si>
    <t xml:space="preserve">General and administrative: meal allowance (card, working days)</t>
  </si>
  <si>
    <t xml:space="preserve">General and administrative: work accident and health insurance</t>
  </si>
  <si>
    <t xml:space="preserve">General and administrative: net pay</t>
  </si>
  <si>
    <t xml:space="preserve">General and administrative: Christmas allowance accrued, incl. TSU (liability)</t>
  </si>
  <si>
    <t xml:space="preserve">General and administrative: revaluation of the holiday accrual for the pay review</t>
  </si>
  <si>
    <t xml:space="preserve">General and administrative: PAYROLL COST</t>
  </si>
  <si>
    <t xml:space="preserve">HOLIDAY PAY AND HOLIDAY ALLOWANCE ACCRUED (22 days and the allowance vest each 1 January for the work of the prior year; incl. TSU)</t>
  </si>
  <si>
    <t xml:space="preserve">Base salaries paid, all departments</t>
  </si>
  <si>
    <t xml:space="preserve">Accrued in the month</t>
  </si>
  <si>
    <t xml:space="preserve">base x 2 / 12 x (1 + TSU)</t>
  </si>
  <si>
    <t xml:space="preserve">Released: holidays taken and the holiday allowance paid</t>
  </si>
  <si>
    <t xml:space="preserve">Revaluation in December 2026 for the January 2027 pay review</t>
  </si>
  <si>
    <t xml:space="preserve">balance x pay review</t>
  </si>
  <si>
    <t xml:space="preserve">HOLIDAY PAY AND ALLOWANCE ACCRUED (liability)</t>
  </si>
  <si>
    <t xml:space="preserve">opening + accrued - released + revaluation</t>
  </si>
  <si>
    <t xml:space="preserve">CHRISTMAS ALLOWANCE ACCRUED (liability, nil after the December payroll)</t>
  </si>
  <si>
    <t xml:space="preserve">Check: Christmas accrual is nil in December (must be zero)</t>
  </si>
  <si>
    <t xml:space="preserve">COMMISSIONS (account managers and the sales director): on new contracts capitalised and amortised over 36 months (IFRS 15.91 and 99); on hardware expensed</t>
  </si>
  <si>
    <t xml:space="preserve">Commissions earned</t>
  </si>
  <si>
    <t xml:space="preserve">A: statements; F: rate x first-year fees of new contracts + rate x hardware margin</t>
  </si>
  <si>
    <t xml:space="preserve">of which on new managed service contracts</t>
  </si>
  <si>
    <t xml:space="preserve">rate x first-year fees</t>
  </si>
  <si>
    <t xml:space="preserve">of which on hardware margin</t>
  </si>
  <si>
    <t xml:space="preserve">Contract costs capitalised (commission on new contracts and its TSU)</t>
  </si>
  <si>
    <t xml:space="preserve">Amortisation of contract costs (36 months from the contract start)</t>
  </si>
  <si>
    <t xml:space="preserve">CONTRACT COSTS: CAPITALISED COMMISSIONS (asset)</t>
  </si>
  <si>
    <t xml:space="preserve">opening + capitalised - amortised</t>
  </si>
  <si>
    <t xml:space="preserve">COMMISSION COST IN SALES AND MARKETING (hardware commission incl. TSU + amortisation of contract costs)</t>
  </si>
  <si>
    <t xml:space="preserve">Commissions payable, incl. TSU (paid with the next payroll)</t>
  </si>
  <si>
    <t xml:space="preserve">PAYROLL LIABILITIES AND PAYMENTS</t>
  </si>
  <si>
    <t xml:space="preserve">Social security due for the month (employer and employee)</t>
  </si>
  <si>
    <t xml:space="preserve">Social security paid (20th of the following month)</t>
  </si>
  <si>
    <t xml:space="preserve">A: bank; F: prior month</t>
  </si>
  <si>
    <t xml:space="preserve">SOCIAL SECURITY PAYABLE</t>
  </si>
  <si>
    <t xml:space="preserve">IRS withheld in the month</t>
  </si>
  <si>
    <t xml:space="preserve">IRS withheld paid (20th of the following month)</t>
  </si>
  <si>
    <t xml:space="preserve">IRS WITHHELD PAYABLE</t>
  </si>
  <si>
    <t xml:space="preserve">Net pay (salaries, allowances and commissions)</t>
  </si>
  <si>
    <t xml:space="preserve">Meal allowance (card top-up with the payroll)</t>
  </si>
  <si>
    <t xml:space="preserve">Payroll cost, all departments (excl. commissions)</t>
  </si>
  <si>
    <t xml:space="preserve">Remuneration paid</t>
  </si>
  <si>
    <t xml:space="preserve">Recruitment cost of hires</t>
  </si>
  <si>
    <t xml:space="preserve">hires x cost per hire</t>
  </si>
  <si>
    <t xml:space="preserve">Payroll cost per head a month</t>
  </si>
  <si>
    <t xml:space="preserve">INVOICING BY COUNTRY AND CUSTOMER RECEIVABLES (EUR)</t>
  </si>
  <si>
    <t xml:space="preserve">Managed services and licences are invoiced monthly in advance, with the SLA credits of the prior month deducted; hardware and licences on delivery; projects at milestones or monthly. Customers in Portugal pay 23% VAT. Services to Spanish businesses are taxed in Spain by the customer and hardware delivered to them is an exempt intra-EU supply. F: the receivable at each month end is the invoicing still inside the collection days (plus the scenario slip) and receipts are the balancing figure; the disputed J11 milestone follows its own drivers.</t>
  </si>
  <si>
    <t xml:space="preserve">INVOICING: CUSTOMERS IN PORTUGAL (EUR ex VAT)</t>
  </si>
  <si>
    <t xml:space="preserve">Managed service fees</t>
  </si>
  <si>
    <t xml:space="preserve">licences x share of users in Portugal</t>
  </si>
  <si>
    <t xml:space="preserve">SLA credits of the prior month</t>
  </si>
  <si>
    <t xml:space="preserve">credited x prior share of fees in Portugal</t>
  </si>
  <si>
    <t xml:space="preserve">Onboarding fees</t>
  </si>
  <si>
    <t xml:space="preserve">billed x share in Portugal</t>
  </si>
  <si>
    <t xml:space="preserve">Licences resold as agent (gross)</t>
  </si>
  <si>
    <t xml:space="preserve">gross x share in Portugal</t>
  </si>
  <si>
    <t xml:space="preserve">revenue - Spain</t>
  </si>
  <si>
    <t xml:space="preserve">INVOICED IN PORTUGAL, EX VAT</t>
  </si>
  <si>
    <t xml:space="preserve">Output VAT (23%)</t>
  </si>
  <si>
    <t xml:space="preserve">INVOICED IN PORTUGAL, INCL. VAT</t>
  </si>
  <si>
    <t xml:space="preserve">INVOICING: CUSTOMERS IN SPAIN (EUR, no Portuguese VAT)</t>
  </si>
  <si>
    <t xml:space="preserve">Hardware (exempt intra-EU supply)</t>
  </si>
  <si>
    <t xml:space="preserve">INVOICED IN SPAIN</t>
  </si>
  <si>
    <t xml:space="preserve">of which services to Spanish businesses (taxed in Spain; recapitulative statement)</t>
  </si>
  <si>
    <t xml:space="preserve">RECEIVABLE: CUSTOMERS IN PORTUGAL (incl. VAT)</t>
  </si>
  <si>
    <t xml:space="preserve">Receivable per the collection days (forecast rule)</t>
  </si>
  <si>
    <t xml:space="preserve">invoicing still inside the days</t>
  </si>
  <si>
    <t xml:space="preserve">Cash received</t>
  </si>
  <si>
    <t xml:space="preserve">A: bank; F: opening + invoiced - receivable per the rule</t>
  </si>
  <si>
    <t xml:space="preserve">RECEIVABLE: CUSTOMERS IN PORTUGAL</t>
  </si>
  <si>
    <t xml:space="preserve">opening + invoiced - received</t>
  </si>
  <si>
    <t xml:space="preserve">RECEIVABLE: CUSTOMERS IN SPAIN</t>
  </si>
  <si>
    <t xml:space="preserve">Disputed J11 final milestone still open</t>
  </si>
  <si>
    <t xml:space="preserve">A: from June; F: until settled</t>
  </si>
  <si>
    <t xml:space="preserve">Receivable on current invoices per the collection days (forecast rule)</t>
  </si>
  <si>
    <t xml:space="preserve">Cash received on current invoices</t>
  </si>
  <si>
    <t xml:space="preserve">A: bank; F: opening current balance + invoiced - receivable per the rule</t>
  </si>
  <si>
    <t xml:space="preserve">Disputed milestone collected</t>
  </si>
  <si>
    <t xml:space="preserve">drivers: month and share credited</t>
  </si>
  <si>
    <t xml:space="preserve">Credit note on the disputed milestone</t>
  </si>
  <si>
    <t xml:space="preserve">opening + invoiced - received - credit notes</t>
  </si>
  <si>
    <t xml:space="preserve">Customer receivables</t>
  </si>
  <si>
    <t xml:space="preserve">Invoiced incl. VAT</t>
  </si>
  <si>
    <t xml:space="preserve">Debtor days (receivables / invoicing of the last three months x days)</t>
  </si>
  <si>
    <t xml:space="preserve">TOTAL CASH RECEIVED FROM CUSTOMERS</t>
  </si>
  <si>
    <t xml:space="preserve">AGED RECEIVABLES AT THE LAST ACTUAL MONTH (EUR, incl. VAT where charged)</t>
  </si>
  <si>
    <t xml:space="preserve">Open invoices aged by due date. Customers in Portugal are invoiced with 23% VAT; Spanish customers without Portuguese VAT. Agent licences are invoiced gross, so their receivable is the full amount billed. Group totals must agree with the ledger.</t>
  </si>
  <si>
    <t xml:space="preserve">As at</t>
  </si>
  <si>
    <t xml:space="preserve">Counterparty (fictional)</t>
  </si>
  <si>
    <t xml:space="preserve">Item / document</t>
  </si>
  <si>
    <t xml:space="preserve">Group</t>
  </si>
  <si>
    <t xml:space="preserve">Amount (EUR)</t>
  </si>
  <si>
    <t xml:space="preserve">Due date</t>
  </si>
  <si>
    <t xml:space="preserve">Days past due</t>
  </si>
  <si>
    <t xml:space="preserve">Not yet due</t>
  </si>
  <si>
    <t xml:space="preserve">1 to 30</t>
  </si>
  <si>
    <t xml:space="preserve">31 to 60</t>
  </si>
  <si>
    <t xml:space="preserve">61 to 90</t>
  </si>
  <si>
    <t xml:space="preserve">Over 90</t>
  </si>
  <si>
    <t xml:space="preserve">Action / note</t>
  </si>
  <si>
    <t xml:space="preserve">Brevanor Têxteis, S.A.</t>
  </si>
  <si>
    <t xml:space="preserve">July invoice: managed services and licences (incl. 23% VAT)</t>
  </si>
  <si>
    <t xml:space="preserve">Portugal</t>
  </si>
  <si>
    <t xml:space="preserve">45-day terms.</t>
  </si>
  <si>
    <t xml:space="preserve">Cerâmicas Lovredo, S.A.</t>
  </si>
  <si>
    <t xml:space="preserve">July invoice: hardware (incl. 23% VAT)</t>
  </si>
  <si>
    <t xml:space="preserve">45-day terms; EUR 14,885.90 received on 28-Aug-26, balance due.</t>
  </si>
  <si>
    <t xml:space="preserve">Farmácias Oliveda</t>
  </si>
  <si>
    <t xml:space="preserve">Moldivel Plásticos, S.A.</t>
  </si>
  <si>
    <t xml:space="preserve">Construtora Arvedo, S.A.</t>
  </si>
  <si>
    <t xml:space="preserve">60-day terms.</t>
  </si>
  <si>
    <t xml:space="preserve">July invoice: project time and materials (J05 Construction site connectivity) (incl. 23% VAT)</t>
  </si>
  <si>
    <t xml:space="preserve">Cooperativa Leiteira Bravanha</t>
  </si>
  <si>
    <t xml:space="preserve">Castelvi Imobiliária</t>
  </si>
  <si>
    <t xml:space="preserve">August invoice: managed services and licences (incl. 23% VAT)</t>
  </si>
  <si>
    <t xml:space="preserve">30-day terms.</t>
  </si>
  <si>
    <t xml:space="preserve">Clínica Dentária Rosmel</t>
  </si>
  <si>
    <t xml:space="preserve">Clínicas Almedra, Lda</t>
  </si>
  <si>
    <t xml:space="preserve">Colégios Maravel</t>
  </si>
  <si>
    <t xml:space="preserve">Engenharia Morvelo, Lda</t>
  </si>
  <si>
    <t xml:space="preserve">August invoice: software licences resold as agent, gross (incl. 23% VAT)</t>
  </si>
  <si>
    <t xml:space="preserve">Ferroval Automação, Lda</t>
  </si>
  <si>
    <t xml:space="preserve">Hotéis Alvenosa</t>
  </si>
  <si>
    <t xml:space="preserve">Laboratórios Cendral, Lda</t>
  </si>
  <si>
    <t xml:space="preserve">August invoice: annual security and backup licences (incl. 23% VAT)</t>
  </si>
  <si>
    <t xml:space="preserve">August invoice: project time and materials (J09 Backup and disaster recovery) (incl. 23% VAT)</t>
  </si>
  <si>
    <t xml:space="preserve">Mediavir Seguros</t>
  </si>
  <si>
    <t xml:space="preserve">Mobiliário Tarvela, Lda</t>
  </si>
  <si>
    <t xml:space="preserve">August invoice: project milestone (J10 Onboarding and migration) (incl. 23% VAT)</t>
  </si>
  <si>
    <t xml:space="preserve">Pravel Contabilidade, Lda</t>
  </si>
  <si>
    <t xml:space="preserve">Quintas Delvara, S.A.</t>
  </si>
  <si>
    <t xml:space="preserve">August invoice: project milestone (J07 Productivity suite tenant migration) (incl. 23% VAT)</t>
  </si>
  <si>
    <t xml:space="preserve">Salmeira Arquitetos</t>
  </si>
  <si>
    <t xml:space="preserve">Valcorra Advogados</t>
  </si>
  <si>
    <t xml:space="preserve">Óticas Lumarel</t>
  </si>
  <si>
    <t xml:space="preserve">Agrícola Vinhedal</t>
  </si>
  <si>
    <t xml:space="preserve">August invoice: hardware (incl. 23% VAT)</t>
  </si>
  <si>
    <t xml:space="preserve">Distribuidora Pellano, Lda</t>
  </si>
  <si>
    <t xml:space="preserve">Gráfica Tornavel, Lda</t>
  </si>
  <si>
    <t xml:space="preserve">Metalúrgica Vaurinho, Lda</t>
  </si>
  <si>
    <t xml:space="preserve">Solvinha Calçado, Lda</t>
  </si>
  <si>
    <t xml:space="preserve">August invoice: project time and materials (J05 Construction site connectivity) (incl. 23% VAT)</t>
  </si>
  <si>
    <t xml:space="preserve">Talleres Brañoso, S.L.</t>
  </si>
  <si>
    <t xml:space="preserve">June invoice: project J11 ERP hosting move, final milestone (30%)</t>
  </si>
  <si>
    <t xml:space="preserve">Spain</t>
  </si>
  <si>
    <t xml:space="preserve">Disputed: the customer is withholding payment until the performance acceptance test is signed off. Test rerun booked for September; no credit expected.</t>
  </si>
  <si>
    <t xml:space="preserve">Clínica Veigadal, S.L.</t>
  </si>
  <si>
    <t xml:space="preserve">July invoice: managed services and licences</t>
  </si>
  <si>
    <t xml:space="preserve">45-day terms; EUR 1,928.97 received on 28-Aug-26, balance due.</t>
  </si>
  <si>
    <t xml:space="preserve">Conservas Brelmar, S.L.</t>
  </si>
  <si>
    <t xml:space="preserve">July invoice: hardware (intra-EU supply, exempt)</t>
  </si>
  <si>
    <t xml:space="preserve">July invoice: project time and materials (J04 Security hardening and SOC onboarding)</t>
  </si>
  <si>
    <t xml:space="preserve">Maderas Ouriñal, S.L.</t>
  </si>
  <si>
    <t xml:space="preserve">Pesqueras Morazal, S.L.</t>
  </si>
  <si>
    <t xml:space="preserve">Bodegas Quenlla, S.L.</t>
  </si>
  <si>
    <t xml:space="preserve">August invoice: managed services and licences</t>
  </si>
  <si>
    <t xml:space="preserve">August invoice: annual security and backup licences</t>
  </si>
  <si>
    <t xml:space="preserve">August invoice: software licences resold as agent, gross</t>
  </si>
  <si>
    <t xml:space="preserve">August invoice: hardware (intra-EU supply, exempt)</t>
  </si>
  <si>
    <t xml:space="preserve">August invoice: project time and materials (J04 Security hardening and SOC onboarding)</t>
  </si>
  <si>
    <t xml:space="preserve">TOTAL</t>
  </si>
  <si>
    <t xml:space="preserve">Share of total</t>
  </si>
  <si>
    <t xml:space="preserve">Customers in Portugal: aging vs ledger</t>
  </si>
  <si>
    <t xml:space="preserve">Ledger balance</t>
  </si>
  <si>
    <t xml:space="preserve">Difference</t>
  </si>
  <si>
    <t xml:space="preserve">Customers in Spain: aging vs ledger</t>
  </si>
  <si>
    <t xml:space="preserve">AGED PAYABLES AT THE LAST ACTUAL MONTH (EUR)</t>
  </si>
  <si>
    <t xml:space="preserve">Open supplier balances aged by due date. The USD tooling invoice is shown at the average rate of its month, as booked. Group totals must agree with the Payables schedule.</t>
  </si>
  <si>
    <t xml:space="preserve">Hardware distributor A (laptops and desktops)</t>
  </si>
  <si>
    <t xml:space="preserve">August invoices: hardware purchases (incl. 23% VAT)</t>
  </si>
  <si>
    <t xml:space="preserve">Paid by transfer at 30 days.</t>
  </si>
  <si>
    <t xml:space="preserve">Hardware distributor B (servers and networking)</t>
  </si>
  <si>
    <t xml:space="preserve">August invoice: bundled, annual and resold licences (incl. 23% VAT)</t>
  </si>
  <si>
    <t xml:space="preserve">Service tooling vendor (USD)</t>
  </si>
  <si>
    <t xml:space="preserve">August invoice: RMM, PSA, endpoint security and backup platforms (USD 23,442 at the August average rate)</t>
  </si>
  <si>
    <t xml:space="preserve">Tooling vendor (USD)</t>
  </si>
  <si>
    <t xml:space="preserve">Paid by wire on the 15th; reverse charge.</t>
  </si>
  <si>
    <t xml:space="preserve">Colocation and backup storage provider</t>
  </si>
  <si>
    <t xml:space="preserve">August invoice: rack space, power and backup storage (incl. 23% VAT)</t>
  </si>
  <si>
    <t xml:space="preserve">Other suppliers</t>
  </si>
  <si>
    <t xml:space="preserve">Specialist ERP data migration subcontractor</t>
  </si>
  <si>
    <t xml:space="preserve">August invoice: J01 subcontract hours (incl. 23% VAT)</t>
  </si>
  <si>
    <t xml:space="preserve">Cabling and electrical subcontractor</t>
  </si>
  <si>
    <t xml:space="preserve">August invoice: site cabling (incl. 23% VAT)</t>
  </si>
  <si>
    <t xml:space="preserve">Statutory auditor and legal advisers</t>
  </si>
  <si>
    <t xml:space="preserve">August invoices: fees (incl. 23% VAT)</t>
  </si>
  <si>
    <t xml:space="preserve">Marketing agency</t>
  </si>
  <si>
    <t xml:space="preserve">August invoice: campaigns and events (incl. 23% VAT)</t>
  </si>
  <si>
    <t xml:space="preserve">Training provider</t>
  </si>
  <si>
    <t xml:space="preserve">August invoice: certifications (incl. 23% VAT)</t>
  </si>
  <si>
    <t xml:space="preserve">Recruitment agency and job boards</t>
  </si>
  <si>
    <t xml:space="preserve">August invoice (incl. 23% VAT)</t>
  </si>
  <si>
    <t xml:space="preserve">Office services</t>
  </si>
  <si>
    <t xml:space="preserve">August invoice: cleaning, utilities and supplies (incl. 23% VAT)</t>
  </si>
  <si>
    <t xml:space="preserve">Occupational health provider</t>
  </si>
  <si>
    <t xml:space="preserve">August invoice (VAT exempt)</t>
  </si>
  <si>
    <t xml:space="preserve">IT equipment reseller</t>
  </si>
  <si>
    <t xml:space="preserve">August invoice: laptops and replacements (incl. 23% VAT)</t>
  </si>
  <si>
    <t xml:space="preserve">Hardware distributors: aging vs schedule</t>
  </si>
  <si>
    <t xml:space="preserve">Licence distributor: aging vs schedule</t>
  </si>
  <si>
    <t xml:space="preserve">Tooling vendor (USD): aging vs schedule</t>
  </si>
  <si>
    <t xml:space="preserve">Other suppliers: aging vs schedule</t>
  </si>
  <si>
    <t xml:space="preserve">TRADE PAYABLES, SUPPLIER PAYMENTS AND FOREIGN EXCHANGE ON THE USD TOOLING VENDOR (EUR)</t>
  </si>
  <si>
    <t xml:space="preserve">Hardware and licence distributors and other Portuguese suppliers invoice incl. 23% VAT and are paid at 30 days. The tooling vendor invoices monthly in USD, paid by wire on the 15th of the next month: each invoice is booked at the average rate of its month and paid at the rate of the payment month, and the difference is a realised exchange gain or loss (IAS 21.28).</t>
  </si>
  <si>
    <t xml:space="preserve">HARDWARE DISTRIBUTORS (incl. VAT, 30 days)</t>
  </si>
  <si>
    <t xml:space="preserve">Invoices incl. VAT</t>
  </si>
  <si>
    <t xml:space="preserve">purchases x 1.23</t>
  </si>
  <si>
    <t xml:space="preserve">Paid</t>
  </si>
  <si>
    <t xml:space="preserve">A: bank; F: prior balance</t>
  </si>
  <si>
    <t xml:space="preserve">Payable: hardware distributors</t>
  </si>
  <si>
    <t xml:space="preserve">LICENCE DISTRIBUTOR (incl. VAT, 30 days)</t>
  </si>
  <si>
    <t xml:space="preserve">bundled + annual + agent vendor cost x 1.23</t>
  </si>
  <si>
    <t xml:space="preserve">Payable: licence distributor</t>
  </si>
  <si>
    <t xml:space="preserve">SERVICE TOOLING VENDOR IN USD (reverse charge)</t>
  </si>
  <si>
    <t xml:space="preserve">Invoices (USD)</t>
  </si>
  <si>
    <t xml:space="preserve">Invoices (EUR at the rate of the month)</t>
  </si>
  <si>
    <t xml:space="preserve">Paid (EUR debited)</t>
  </si>
  <si>
    <t xml:space="preserve">A: bank; F: prior month USD / rate of this month</t>
  </si>
  <si>
    <t xml:space="preserve">Exchange difference on settlement: gain (+) / loss (-)</t>
  </si>
  <si>
    <t xml:space="preserve">balance booked less EUR paid</t>
  </si>
  <si>
    <t xml:space="preserve">Payable: tooling vendor in USD (EUR)</t>
  </si>
  <si>
    <t xml:space="preserve">OTHER SUPPLIERS: ADVISERS, MARKETING, TRAINING, RECRUITMENT, OFFICE, OHS, COLOCATION, SUBCONTRACTORS, IT EQUIPMENT (30 days)</t>
  </si>
  <si>
    <t xml:space="preserve">Invoices carrying Portuguese VAT, ex VAT</t>
  </si>
  <si>
    <t xml:space="preserve">Invoices incl. VAT (and the VAT-exempt OHS provider)</t>
  </si>
  <si>
    <t xml:space="preserve">Payable: other suppliers</t>
  </si>
  <si>
    <t xml:space="preserve">TOTAL TRADE PAYABLES</t>
  </si>
  <si>
    <t xml:space="preserve">VAT (IVA): MONTHLY RETURN, PAYMENT IN THE SECOND MONTH AND CROSS-BORDER MEMOS (EUR)</t>
  </si>
  <si>
    <t xml:space="preserve">Output VAT on invoices to customers in Portugal, due on invoicing; input VAT on Portuguese supplier invoices. Monthly regime: the return for a month is filed by the 20th and paid by the 25th of the second month after it, and the June and July returns are both filed and paid in September. Services bought from the USD vendor are self-assessed and deducted on the same return, so they net to zero.</t>
  </si>
  <si>
    <t xml:space="preserve">Output VAT: invoices to customers in Portugal</t>
  </si>
  <si>
    <t xml:space="preserve">Input VAT: hardware purchases</t>
  </si>
  <si>
    <t xml:space="preserve">Input VAT: licence distributor</t>
  </si>
  <si>
    <t xml:space="preserve">Input VAT: other suppliers and telecoms</t>
  </si>
  <si>
    <t xml:space="preserve">NET VAT FOR THE MONTH</t>
  </si>
  <si>
    <t xml:space="preserve">VAT paid (25th of the second month; June and July in September)</t>
  </si>
  <si>
    <t xml:space="preserve">A: bank; F: the return due</t>
  </si>
  <si>
    <t xml:space="preserve">VAT PAYABLE</t>
  </si>
  <si>
    <t xml:space="preserve">opening + net - paid</t>
  </si>
  <si>
    <t xml:space="preserve">Check: payable equals the returns not yet paid (must be zero)</t>
  </si>
  <si>
    <t xml:space="preserve">this month and last; three months at August</t>
  </si>
  <si>
    <t xml:space="preserve">Reverse charge on the USD tooling vendor (self-assessed and deducted: nets to zero)</t>
  </si>
  <si>
    <t xml:space="preserve">Services to Spanish businesses (recapitulative statement, by the 20th)</t>
  </si>
  <si>
    <t xml:space="preserve">Hardware delivered to Spanish businesses (exempt intra-EU supply)</t>
  </si>
  <si>
    <t xml:space="preserve">CORPORATE INCOME TAX (IRC), MUNICIPAL SURCHARGE (DERRAMA) AND PAYMENTS ON ACCOUNT (EUR)</t>
  </si>
  <si>
    <t xml:space="preserve">IRC on taxable profit at 15% on the first EUR 50,000 (SME) and the general rate above (19% for 2026, 18% for 2027), plus the Porto derrama of 1.5%. Charged on the year-to-date profit. Payments on account of 95% of the prior-year IRC in July, September and by 15 December; the third may be limited when the payments already made cover the tax (switch on Assumptions). The balance is paid with the Modelo 22 in May; an overpayment is refunded in the month on Assumptions.</t>
  </si>
  <si>
    <t xml:space="preserve">Profit before tax</t>
  </si>
  <si>
    <t xml:space="preserve">Taxable profit year to date (no tax adjustments modelled)</t>
  </si>
  <si>
    <t xml:space="preserve">IRC general rate</t>
  </si>
  <si>
    <t xml:space="preserve">timeline</t>
  </si>
  <si>
    <t xml:space="preserve">IRC year to date (SME rate on the first EUR 50,000)</t>
  </si>
  <si>
    <t xml:space="preserve">Derrama year to date</t>
  </si>
  <si>
    <t xml:space="preserve">taxable profit x 1.5%</t>
  </si>
  <si>
    <t xml:space="preserve">Tax year to date</t>
  </si>
  <si>
    <t xml:space="preserve">CHARGE FOR THE MONTH (P&amp;L)</t>
  </si>
  <si>
    <t xml:space="preserve">Payments on account (July, September, December)</t>
  </si>
  <si>
    <t xml:space="preserve">A: bank; F: 95% of the prior-year IRC / 3</t>
  </si>
  <si>
    <t xml:space="preserve">Balance for the prior year paid with the Modelo 22</t>
  </si>
  <si>
    <t xml:space="preserve">A: bank; F: May 2027, if tax exceeds the payments on account</t>
  </si>
  <si>
    <t xml:space="preserve">Overpayment refunded</t>
  </si>
  <si>
    <t xml:space="preserve">F: month on Assumptions</t>
  </si>
  <si>
    <t xml:space="preserve">Tax paid less refunds (cash)</t>
  </si>
  <si>
    <t xml:space="preserve">IRC PAYABLE / (RECOVERABLE)</t>
  </si>
  <si>
    <t xml:space="preserve">opening + charge - paid + refunded</t>
  </si>
  <si>
    <t xml:space="preserve">December 2026 payment on account if paid in full</t>
  </si>
  <si>
    <t xml:space="preserve">helper: single value in column C</t>
  </si>
  <si>
    <t xml:space="preserve">December 2026 payment on account if limited under CIRC art. 107</t>
  </si>
  <si>
    <t xml:space="preserve">Cash kept in December by limiting it</t>
  </si>
  <si>
    <t xml:space="preserve">Effective tax rate on profit before tax (year to date)</t>
  </si>
  <si>
    <t xml:space="preserve">OVERHEADS AND DELIVERY COSTS: TOOLING IN USD, COLOCATION, FIELD VANS, RENT WITH IRC WITHHELD, DIRECT DEBITS (EUR ex VAT)</t>
  </si>
  <si>
    <t xml:space="preserve">A: ledger. F: the FY2026 monthly level on Assumptions with its seasonal profile; recruitment per hire; overhead inflation from FY2027. Tooling is billed in USD per endpoint plus a platform fee and converted at the rate of the month. Rent is paid in the month net of the 25% IRC withheld, which is paid to the State by the 20th of the following month.</t>
  </si>
  <si>
    <t xml:space="preserve">OVERHEADS</t>
  </si>
  <si>
    <t xml:space="preserve">Office rent, Porto (VAT exempt; 25% IRC withheld)</t>
  </si>
  <si>
    <t xml:space="preserve">no VAT or not recovered</t>
  </si>
  <si>
    <t xml:space="preserve">Portuguese VAT 23% recovered</t>
  </si>
  <si>
    <t xml:space="preserve">Insurance (general liability, property, cyber)</t>
  </si>
  <si>
    <t xml:space="preserve">Travel (VAT not recovered)</t>
  </si>
  <si>
    <t xml:space="preserve">TOTAL OVERHEADS</t>
  </si>
  <si>
    <t xml:space="preserve">DELIVERY COSTS (cost of revenue)</t>
  </si>
  <si>
    <t xml:space="preserve">Endpoints under management (users x endpoints per user + devices)</t>
  </si>
  <si>
    <t xml:space="preserve">Service tooling invoice (USD): RMM, PSA, endpoint security, backup</t>
  </si>
  <si>
    <t xml:space="preserve">A: invoice; F: endpoints x price + platform fee</t>
  </si>
  <si>
    <t xml:space="preserve">SERVICE TOOLING (EUR at the rate of the month)</t>
  </si>
  <si>
    <t xml:space="preserve">USD / rate</t>
  </si>
  <si>
    <t xml:space="preserve">COLOCATION AND BACKUP STORAGE</t>
  </si>
  <si>
    <t xml:space="preserve">A: invoice; F: fixed + per device, x inflation</t>
  </si>
  <si>
    <t xml:space="preserve">FIELD VANS (rental, fuel, tolls)</t>
  </si>
  <si>
    <t xml:space="preserve">A: direct debits; F: (field technicians + pool van) x cost</t>
  </si>
  <si>
    <t xml:space="preserve">RENT AND IRC WITHHELD ON RENT</t>
  </si>
  <si>
    <t xml:space="preserve">Rent paid to the landlord, net of the IRC withheld (in the month)</t>
  </si>
  <si>
    <t xml:space="preserve">rent x (1 - 25%)</t>
  </si>
  <si>
    <t xml:space="preserve">IRC withheld on rent</t>
  </si>
  <si>
    <t xml:space="preserve">rent x 25%</t>
  </si>
  <si>
    <t xml:space="preserve">IRC withheld paid to the State (20th of the following month)</t>
  </si>
  <si>
    <t xml:space="preserve">IRC WITHHELD ON RENT PAYABLE</t>
  </si>
  <si>
    <t xml:space="preserve">DIRECT DEBITS (paid in the month)</t>
  </si>
  <si>
    <t xml:space="preserve">Insurance, travel, telecoms incl. VAT and field vans</t>
  </si>
  <si>
    <t xml:space="preserve">FIXED ASSETS, CUSTOMER RELATIONSHIPS AND GOODWILL (EUR)</t>
  </si>
  <si>
    <t xml:space="preserve">IT equipment over 36 months and the office fit-out over 10 years, straight line. Customer relationships from the April 2024 acquisition of a Braga managed services business are amortised over 8 years (IFRS 3, IAS 38); goodwill is not amortised and is tested for impairment each year (IAS 36). A: asset register; F: equipment for each hire plus the replacement cycle; additions depreciated from the month after.</t>
  </si>
  <si>
    <t xml:space="preserve">Capex: IT equipment</t>
  </si>
  <si>
    <t xml:space="preserve">A: register; F: hires x equipment + replacement</t>
  </si>
  <si>
    <t xml:space="preserve">Depreciation of IT equipment held at 31-Dec-25</t>
  </si>
  <si>
    <t xml:space="preserve">register</t>
  </si>
  <si>
    <t xml:space="preserve">Depreciation of additions (36 months)</t>
  </si>
  <si>
    <t xml:space="preserve">Depreciation of the office fit-out</t>
  </si>
  <si>
    <t xml:space="preserve">DEPRECIATION</t>
  </si>
  <si>
    <t xml:space="preserve">AMORTISATION: CUSTOMER RELATIONSHIPS</t>
  </si>
  <si>
    <t xml:space="preserve">DEPRECIATION AND AMORTISATION</t>
  </si>
  <si>
    <t xml:space="preserve">IT EQUIPMENT AND FIT-OUT, NET BOOK VALUE</t>
  </si>
  <si>
    <t xml:space="preserve">CUSTOMER RELATIONSHIPS, NET BOOK VALUE</t>
  </si>
  <si>
    <t xml:space="preserve">GOODWILL (not amortised; impairment test each year)</t>
  </si>
  <si>
    <t xml:space="preserve">BANK LOAN, COVENANTS AND DIVIDENDS (EUR)</t>
  </si>
  <si>
    <t xml:space="preserve">Term loan of EUR 2.0m drawn in April 2024 for the acquisition of a Braga managed services business: 60 monthly principal instalments, interest at Euribor 3M + 2.25% paid monthly. Covenants tested at June and December on the last twelve months. Dividends need both covenants met at the December test and are capped at 50% of the prior-year net profit; they are declared at the March general meeting, paid in May net of 28% IRS, and the IRS is paid by 20 June.</t>
  </si>
  <si>
    <t xml:space="preserve">TERM LOAN</t>
  </si>
  <si>
    <t xml:space="preserve">Opening balance</t>
  </si>
  <si>
    <t xml:space="preserve">Principal repaid</t>
  </si>
  <si>
    <t xml:space="preserve">A: bank; F: instalment</t>
  </si>
  <si>
    <t xml:space="preserve">Interest</t>
  </si>
  <si>
    <t xml:space="preserve">A: bank; F: opening x (Euribor + margin) / 12</t>
  </si>
  <si>
    <t xml:space="preserve">BANK LOAN</t>
  </si>
  <si>
    <t xml:space="preserve">COVENANTS (last twelve months; FY2025 months from History)</t>
  </si>
  <si>
    <t xml:space="preserve">EBITDA, last twelve months</t>
  </si>
  <si>
    <t xml:space="preserve">PL + History</t>
  </si>
  <si>
    <t xml:space="preserve">Net debt / EBITDA</t>
  </si>
  <si>
    <t xml:space="preserve">at most the covenant</t>
  </si>
  <si>
    <t xml:space="preserve">Tax paid less refunds, last twelve months</t>
  </si>
  <si>
    <t xml:space="preserve">Tax + History</t>
  </si>
  <si>
    <t xml:space="preserve">Capex, last twelve months</t>
  </si>
  <si>
    <t xml:space="preserve">Fixed_Assets + History</t>
  </si>
  <si>
    <t xml:space="preserve">Debt service (principal and interest), last twelve months</t>
  </si>
  <si>
    <t xml:space="preserve">Debt service cover: (EBITDA - tax - capex) / debt service</t>
  </si>
  <si>
    <t xml:space="preserve">at least the covenant</t>
  </si>
  <si>
    <t xml:space="preserve">Covenant test (June and December)</t>
  </si>
  <si>
    <t xml:space="preserve">Headroom: EBITDA that could be lost before the DSCR covenant breaks</t>
  </si>
  <si>
    <t xml:space="preserve">Debt service cover at Dec-26 with the December payment on account limited (art. 107)</t>
  </si>
  <si>
    <t xml:space="preserve">Debt service cover at Dec-26 with the December payment on account paid in full</t>
  </si>
  <si>
    <t xml:space="preserve">DIVIDENDS</t>
  </si>
  <si>
    <t xml:space="preserve">Dividends declared (general meeting in March)</t>
  </si>
  <si>
    <t xml:space="preserve">A: minutes; F: March 2027 = payout x FY2026 net profit, within the loan cap, if the December test is met</t>
  </si>
  <si>
    <t xml:space="preserve">Dividends paid, net of 28% IRS (May)</t>
  </si>
  <si>
    <t xml:space="preserve">A: bank; F: May 2027</t>
  </si>
  <si>
    <t xml:space="preserve">IRS withheld on dividends paid</t>
  </si>
  <si>
    <t xml:space="preserve">net / (1 - 28%) x 28%</t>
  </si>
  <si>
    <t xml:space="preserve">DIVIDENDS PAYABLE</t>
  </si>
  <si>
    <t xml:space="preserve">opening + declared - paid - withheld</t>
  </si>
  <si>
    <t xml:space="preserve">IRS on dividends paid to the State (20th of the following month)</t>
  </si>
  <si>
    <t xml:space="preserve">IRS WITHHELD ON DIVIDENDS PAYABLE</t>
  </si>
  <si>
    <t xml:space="preserve">Legal reserve (complete at 20% of share capital)</t>
  </si>
  <si>
    <t xml:space="preserve">MANAGED SERVICE CONTRACT REGISTER AND PIPELINE (FICTIONAL)</t>
  </si>
  <si>
    <t xml:space="preserve">One row per managed service contract and named opportunity. Blue = input (terms, users, devices, prices, probabilities). Black = derived. Renewal probabilities apply at each 36-month term end, win probabilities to pipeline deals; forecast values are expected values.</t>
  </si>
  <si>
    <t xml:space="preserve">Code</t>
  </si>
  <si>
    <t xml:space="preserve">Customer (fictional)</t>
  </si>
  <si>
    <t xml:space="preserve">Country</t>
  </si>
  <si>
    <t xml:space="preserve">Sector</t>
  </si>
  <si>
    <t xml:space="preserve">VAT on invoices</t>
  </si>
  <si>
    <t xml:space="preserve">First contract start (month)</t>
  </si>
  <si>
    <t xml:space="preserve">Start month no.</t>
  </si>
  <si>
    <t xml:space="preserve">Users at 31-Dec-25 (live) or at signature</t>
  </si>
  <si>
    <t xml:space="preserve">Devices at 31-Dec-25 or at signature</t>
  </si>
  <si>
    <t xml:space="preserve">Price per user a month (31-Dec-25 or signature)</t>
  </si>
  <si>
    <t xml:space="preserve">Price per device a month</t>
  </si>
  <si>
    <t xml:space="preserve">User growth a month</t>
  </si>
  <si>
    <t xml:space="preserve">Payment terms (days)</t>
  </si>
  <si>
    <t xml:space="preserve">SLA tier</t>
  </si>
  <si>
    <t xml:space="preserve">Probability Base (renewal or win)</t>
  </si>
  <si>
    <t xml:space="preserve">Probability Downside</t>
  </si>
  <si>
    <t xml:space="preserve">Probability Upside</t>
  </si>
  <si>
    <t xml:space="preserve">Probability selected</t>
  </si>
  <si>
    <t xml:space="preserve">Effective start month no.</t>
  </si>
  <si>
    <t xml:space="preserve">Anniversary month</t>
  </si>
  <si>
    <t xml:space="preserve">Next renewal after the last actual month</t>
  </si>
  <si>
    <t xml:space="preserve">Onboarding fee (starts from Jan-25)</t>
  </si>
  <si>
    <t xml:space="preserve">Expected onboarding fee (pipeline x win probability)</t>
  </si>
  <si>
    <t xml:space="preserve">Users at the last actual month</t>
  </si>
  <si>
    <t xml:space="preserve">Devices at the last actual month</t>
  </si>
  <si>
    <t xml:space="preserve">Fees at the last actual month</t>
  </si>
  <si>
    <t xml:space="preserve">Managed services revenue FY2026 (fees and licences)</t>
  </si>
  <si>
    <t xml:space="preserve">Managed services revenue FY2027</t>
  </si>
  <si>
    <t xml:space="preserve">Share of FY2026 managed services revenue</t>
  </si>
  <si>
    <t xml:space="preserve">Delivery cost allocated FY2026 (desk hours, tooling, licences)</t>
  </si>
  <si>
    <t xml:space="preserve">Contribution FY2026</t>
  </si>
  <si>
    <t xml:space="preserve">Contribution % FY2026</t>
  </si>
  <si>
    <t xml:space="preserve">Contract note (fictional)</t>
  </si>
  <si>
    <t xml:space="preserve">PT</t>
  </si>
  <si>
    <t xml:space="preserve">Textiles</t>
  </si>
  <si>
    <t xml:space="preserve">Live</t>
  </si>
  <si>
    <t xml:space="preserve">Premium</t>
  </si>
  <si>
    <t xml:space="preserve">Largest contract: 420 users across two plants and the head office. Renews in March 2027; a regional competitor has approached the IT director. ERP infrastructure project J01 overran (Projects).</t>
  </si>
  <si>
    <t xml:space="preserve">Healthcare</t>
  </si>
  <si>
    <t xml:space="preserve">Footwear</t>
  </si>
  <si>
    <t xml:space="preserve">Standard</t>
  </si>
  <si>
    <t xml:space="preserve">Legal services</t>
  </si>
  <si>
    <t xml:space="preserve">Education</t>
  </si>
  <si>
    <t xml:space="preserve">Metalworking</t>
  </si>
  <si>
    <t xml:space="preserve">Wine exports</t>
  </si>
  <si>
    <t xml:space="preserve">Pharmacy retail</t>
  </si>
  <si>
    <t xml:space="preserve">Plastics</t>
  </si>
  <si>
    <t xml:space="preserve">Accounting</t>
  </si>
  <si>
    <t xml:space="preserve">Hotels</t>
  </si>
  <si>
    <t xml:space="preserve">Ceramics</t>
  </si>
  <si>
    <t xml:space="preserve">Real estate</t>
  </si>
  <si>
    <t xml:space="preserve">Agrifood</t>
  </si>
  <si>
    <t xml:space="preserve">Engineering</t>
  </si>
  <si>
    <t xml:space="preserve">Dairy</t>
  </si>
  <si>
    <t xml:space="preserve">Clinical laboratories</t>
  </si>
  <si>
    <t xml:space="preserve">Insurance broking</t>
  </si>
  <si>
    <t xml:space="preserve">Construction</t>
  </si>
  <si>
    <t xml:space="preserve">Wholesale</t>
  </si>
  <si>
    <t xml:space="preserve">Printing</t>
  </si>
  <si>
    <t xml:space="preserve">Optical retail</t>
  </si>
  <si>
    <t xml:space="preserve">Architecture</t>
  </si>
  <si>
    <t xml:space="preserve">Traslovia Transportes, Lda</t>
  </si>
  <si>
    <t xml:space="preserve">Logistics</t>
  </si>
  <si>
    <t xml:space="preserve">Not renewed Apr-26</t>
  </si>
  <si>
    <t xml:space="preserve">Not renewed at the April 2026 term end: moved to a competitor offering a lower price per user with a remote-only service desk.</t>
  </si>
  <si>
    <t xml:space="preserve">ES</t>
  </si>
  <si>
    <t xml:space="preserve">Seafood canning</t>
  </si>
  <si>
    <t xml:space="preserve">Industrial engineering</t>
  </si>
  <si>
    <t xml:space="preserve">Final milestone of project J11 (ERP hosting move) invoiced in June and disputed pending the performance acceptance test.</t>
  </si>
  <si>
    <t xml:space="preserve">Timber</t>
  </si>
  <si>
    <t xml:space="preserve">Fishing</t>
  </si>
  <si>
    <t xml:space="preserve">Renews December 2026; the owner has asked for a price reduction after two SLA breaches in the summer.</t>
  </si>
  <si>
    <t xml:space="preserve">Winery</t>
  </si>
  <si>
    <t xml:space="preserve">Industrial automation</t>
  </si>
  <si>
    <t xml:space="preserve">Won in 2026</t>
  </si>
  <si>
    <t xml:space="preserve">Dental clinics</t>
  </si>
  <si>
    <t xml:space="preserve">Furniture</t>
  </si>
  <si>
    <t xml:space="preserve">Grupo Hospitalar Venara</t>
  </si>
  <si>
    <t xml:space="preserve">Hospitals</t>
  </si>
  <si>
    <t xml:space="preserve">Pipeline</t>
  </si>
  <si>
    <t xml:space="preserve">Hospital group tender: shortlisted with two competitors; decision expected in October for a November start.</t>
  </si>
  <si>
    <t xml:space="preserve">Exportadora Linhelo, S.A.</t>
  </si>
  <si>
    <t xml:space="preserve">Food exports</t>
  </si>
  <si>
    <t xml:space="preserve">Logística Crastova, Lda</t>
  </si>
  <si>
    <t xml:space="preserve">Conservas Galmira, S.L.</t>
  </si>
  <si>
    <t xml:space="preserve">Live contracts: probability = renewal probability at each 36-month term end. Contracts won in 2026 renew beyond the forecast horizon. Pipeline: probability = win probability, applied to users, devices and fees from the effective start month. Names are invented.</t>
  </si>
  <si>
    <t xml:space="preserve">PROJECT REGISTER (FICTIONAL)</t>
  </si>
  <si>
    <t xml:space="preserve">Fixed-fee projects: revenue over time on hours against the estimate at completion (IFRS 15.B18 to B19); milestones 30% at start, 40% at 50% progress, 30% at completion. Time-and-materials projects billed monthly. Blue = input; the estimate at completion is reviewed monthly.</t>
  </si>
  <si>
    <t xml:space="preserve">Contract</t>
  </si>
  <si>
    <t xml:space="preserve">Project</t>
  </si>
  <si>
    <t xml:space="preserve">Fee (fixed fee) or rate per hour (T&amp;M)</t>
  </si>
  <si>
    <t xml:space="preserve">Start</t>
  </si>
  <si>
    <t xml:space="preserve">Planned completion</t>
  </si>
  <si>
    <t xml:space="preserve">Start no.</t>
  </si>
  <si>
    <t xml:space="preserve">End no.</t>
  </si>
  <si>
    <t xml:space="preserve">Own hours at completion (estimate)</t>
  </si>
  <si>
    <t xml:space="preserve">Subcontract hours at completion</t>
  </si>
  <si>
    <t xml:space="preserve">Own hours to 31-Dec-25</t>
  </si>
  <si>
    <t xml:space="preserve">Subcontract hours to 31-Dec-25</t>
  </si>
  <si>
    <t xml:space="preserve">Revenue to 31-Dec-25</t>
  </si>
  <si>
    <t xml:space="preserve">Billed to 31-Dec-25</t>
  </si>
  <si>
    <t xml:space="preserve">Downside overrun applies (1)</t>
  </si>
  <si>
    <t xml:space="preserve">Own hours to the last actual month</t>
  </si>
  <si>
    <t xml:space="preserve">Subcontract hours to the last actual month</t>
  </si>
  <si>
    <t xml:space="preserve">Own hours at completion, forecast (incl. scenario overrun)</t>
  </si>
  <si>
    <t xml:space="preserve">Subcontract hours at completion, forecast</t>
  </si>
  <si>
    <t xml:space="preserve">Progress at the last actual month</t>
  </si>
  <si>
    <t xml:space="preserve">Revenue FY2026</t>
  </si>
  <si>
    <t xml:space="preserve">Billed FY2026</t>
  </si>
  <si>
    <t xml:space="preserve">Billed less revenue at the last actual month (+ ahead)</t>
  </si>
  <si>
    <t xml:space="preserve">Onerous provision at the last actual month</t>
  </si>
  <si>
    <t xml:space="preserve">Cost at completion (standard)</t>
  </si>
  <si>
    <t xml:space="preserve">Margin at completion (standard cost)</t>
  </si>
  <si>
    <t xml:space="preserve">Margin %</t>
  </si>
  <si>
    <t xml:space="preserve">Note (fictional)</t>
  </si>
  <si>
    <t xml:space="preserve">ERP infrastructure and cloud migration</t>
  </si>
  <si>
    <t xml:space="preserve">FF</t>
  </si>
  <si>
    <t xml:space="preserve">Estimate at completion raised in June from 1,900 own + 150 subcontract hours to 2,150 + 1,350: the ERP data migration needed a specialist subcontractor. Loss-making at completion: provision under IAS 37.</t>
  </si>
  <si>
    <t xml:space="preserve">Clinic network and Wi-Fi refresh</t>
  </si>
  <si>
    <t xml:space="preserve">Server virtualisation</t>
  </si>
  <si>
    <t xml:space="preserve">Security hardening and SOC onboarding</t>
  </si>
  <si>
    <t xml:space="preserve">TM</t>
  </si>
  <si>
    <t xml:space="preserve">Construction site connectivity</t>
  </si>
  <si>
    <t xml:space="preserve">Onboarding and migration</t>
  </si>
  <si>
    <t xml:space="preserve">Productivity suite tenant migration</t>
  </si>
  <si>
    <t xml:space="preserve">Store network upgrade (signed Aug-26)</t>
  </si>
  <si>
    <t xml:space="preserve">Signed in August; starts in September.</t>
  </si>
  <si>
    <t xml:space="preserve">Backup and disaster recovery</t>
  </si>
  <si>
    <t xml:space="preserve">ERP hosting move</t>
  </si>
  <si>
    <t xml:space="preserve">Final milestone invoiced in June and disputed pending the performance acceptance test.</t>
  </si>
  <si>
    <t xml:space="preserve">QUELVORA SISTEMAS, LDA (FICTIONAL DEMONSTRATION COMPANY)</t>
  </si>
  <si>
    <t xml:space="preserve">ASSUMPTIONS, TIMELINE AND SCENARIO DRIVERS</t>
  </si>
  <si>
    <t xml:space="preserve">Every input lives here, on Inputs_Actuals, History, the two registers or Budget_FY26. Blue on yellow = input. Black = formula. Green = link to another sheet.</t>
  </si>
  <si>
    <t xml:space="preserve">GENERAL</t>
  </si>
  <si>
    <t xml:space="preserve">Company name</t>
  </si>
  <si>
    <t xml:space="preserve">Quelvora Sistemas, Lda (fictional demonstration company)</t>
  </si>
  <si>
    <t xml:space="preserve">All figures fictional. Portuguese private limited company (Lda) in Porto, founded 2009, owned by its two founders; financial year = calendar year; EUR. Management accounts under IFRS; statutory accounts under SNC, differences not modelled.</t>
  </si>
  <si>
    <t xml:space="preserve">Reporting currency</t>
  </si>
  <si>
    <t xml:space="preserve">Model start month (month end)</t>
  </si>
  <si>
    <t xml:space="preserve">date</t>
  </si>
  <si>
    <t xml:space="preserve">24 monthly columns from this month</t>
  </si>
  <si>
    <t xml:space="preserve">Last actual month (month end)</t>
  </si>
  <si>
    <t xml:space="preserve">Months up to and including this date are actual (fictional ledger); later months are forecast</t>
  </si>
  <si>
    <t xml:space="preserve">Last actual month number</t>
  </si>
  <si>
    <t xml:space="preserve">calc</t>
  </si>
  <si>
    <t xml:space="preserve">Scenario selector (1 = Base, 2 = Downside, 3 = Upside)</t>
  </si>
  <si>
    <t xml:space="preserve">input</t>
  </si>
  <si>
    <t xml:space="preserve">Change this cell and every forecast month moves. Base = management case; Downside = worst case; Upside = best case.</t>
  </si>
  <si>
    <t xml:space="preserve">Scenario name</t>
  </si>
  <si>
    <t xml:space="preserve">Board policy: one month of payroll, social security and supplier runs; used by the 13-week cash forecast and the CFO report</t>
  </si>
  <si>
    <t xml:space="preserve">Undrawn overdraft facility available</t>
  </si>
  <si>
    <t xml:space="preserve">Committed credit line (conta caucionada) with the lending bank, undrawn</t>
  </si>
  <si>
    <t xml:space="preserve">Aged receivables and payables: as-at date</t>
  </si>
  <si>
    <t xml:space="preserve">TAX (PORTUGAL), VERIFIED AGAINST PRIMARY SOURCES ON 23-SEP-26</t>
  </si>
  <si>
    <t xml:space="preserve">VAT (IVA): standard rate, mainland</t>
  </si>
  <si>
    <t xml:space="preserve">rate</t>
  </si>
  <si>
    <t xml:space="preserve">Código do IVA art. 18; charged to customers in Portugal</t>
  </si>
  <si>
    <t xml:space="preserve">VAT: customers and suppliers abroad</t>
  </si>
  <si>
    <t xml:space="preserve">Services to businesses in Spain are taxed where the customer is established (CIVA art. 6(6)(a)): no Portuguese VAT, reported on the recapitulative statement by the 20th of the following month (RITI art. 30). Hardware delivered to Spanish businesses is an exempt intra-EU supply (RITI art. 14). Services bought from the USD tooling vendor are self-assessed and deducted on the same return.</t>
  </si>
  <si>
    <t xml:space="preserve">VAT: rent</t>
  </si>
  <si>
    <t xml:space="preserve">The office lease is exempt (CIVA art. 9(29)); the landlord has not opted to tax.</t>
  </si>
  <si>
    <t xml:space="preserve">VAT: returns and payment</t>
  </si>
  <si>
    <t xml:space="preserve">Monthly regime (turnover of EUR 650,000 or more in the prior year, CIVA art. 41): return by the 20th and payment by the 25th of the second month after the month; June and July returns are both filed and paid in September (CIVA art. 27 and 41, amended by Decreto-Lei 49/2025). VAT is due on invoicing.</t>
  </si>
  <si>
    <t xml:space="preserve">Corporate income tax (IRC): general rate FY2026</t>
  </si>
  <si>
    <t xml:space="preserve">CIRC art. 87 as amended by Lei 64/2025: 19% for 2026, 18% for 2027, 17% from 2028</t>
  </si>
  <si>
    <t xml:space="preserve">IRC: general rate FY2027</t>
  </si>
  <si>
    <t xml:space="preserve">IRC: SME rate on the first EUR 50,000 of taxable profit</t>
  </si>
  <si>
    <t xml:space="preserve">CIRC art. 87(2): 15% from 2026 (FY2025: 20% and 16%, Lei 45-A/2024). The company is an SME</t>
  </si>
  <si>
    <t xml:space="preserve">IRC: SME band</t>
  </si>
  <si>
    <t xml:space="preserve">Municipal surcharge (derrama), Porto</t>
  </si>
  <si>
    <t xml:space="preserve">Ofício Circulado 20288/2026 (rates for collection in 2026): Porto 1.5% (0.75% only below EUR 150,000 of turnover). State surcharge starts at EUR 1.5m of taxable profit: not reached</t>
  </si>
  <si>
    <t xml:space="preserve">IRC assessed for FY2025 (before derrama), base for the FY2026 payments on account</t>
  </si>
  <si>
    <t xml:space="preserve">FY2025 return (fictional)</t>
  </si>
  <si>
    <t xml:space="preserve">Payments on account: share of the prior-year tax (turnover above EUR 500,000)</t>
  </si>
  <si>
    <t xml:space="preserve">CIRC art. 105: 95%, in three instalments due in July, September and by 15 December (art. 104)</t>
  </si>
  <si>
    <t xml:space="preserve">Limit the third FY2026 payment on account (1 = yes, 0 = pay in full)</t>
  </si>
  <si>
    <t xml:space="preserve">switch</t>
  </si>
  <si>
    <t xml:space="preserve">CIRC art. 107: the third instalment may be stopped or limited when the payments made already cover the tax due; compensatory interest applies if the tax proves more than 20% higher</t>
  </si>
  <si>
    <t xml:space="preserve">IRC balance for FY2025 (paid with the Modelo 22)</t>
  </si>
  <si>
    <t xml:space="preserve">Filing and payment deadline extended to 19 June 2026 (Despacho n.º 68/2026-XXV of 12 May 2026)</t>
  </si>
  <si>
    <t xml:space="preserve">Month an IRC overpayment for FY2026 is refunded</t>
  </si>
  <si>
    <t xml:space="preserve">Assumption: about three months after the May filing; information needed: the tax authority refund date</t>
  </si>
  <si>
    <t xml:space="preserve">IRC withheld on rent paid to the landlord company</t>
  </si>
  <si>
    <t xml:space="preserve">CIRC art. 94(1)(c) and (4): 25%; paid to the State by the 20th of the following month (art. 94(6))</t>
  </si>
  <si>
    <t xml:space="preserve">IRS withheld on dividends paid to the resident individual shareholders</t>
  </si>
  <si>
    <t xml:space="preserve">CIRS art. 71(1)(a): 28% final withholding; paid by the 20th of the following month (CIRS art. 98(3))</t>
  </si>
  <si>
    <t xml:space="preserve">Invoicing rules</t>
  </si>
  <si>
    <t xml:space="preserve">PDF invoices remain valid electronic invoices until 31 December 2026; from 1 January 2027 they need a qualified electronic signature or seal (Lei 73-A/2025, State Budget 2026). Invoice data is communicated to the tax authority monthly (SAF-T PT) by the 5th of the following month.</t>
  </si>
  <si>
    <t xml:space="preserve">SOCIAL SECURITY AND PAYROLL 2026 (14 SALARIES)</t>
  </si>
  <si>
    <t xml:space="preserve">Social security (TSU): employer</t>
  </si>
  <si>
    <t xml:space="preserve">Código Contributivo: 23.75% employer, 11% employee, on salaries and both allowances</t>
  </si>
  <si>
    <t xml:space="preserve">Social security (TSU): employee</t>
  </si>
  <si>
    <t xml:space="preserve">Social security payment dates</t>
  </si>
  <si>
    <t xml:space="preserve">2026: contributions for a month paid between the 10th and the 20th of the following month; from 1 January 2027 the new contributory cycle (Decreto-Lei 127/2025) sets payment between the 1st and the 25th and ends the separate remuneration declaration. Income tax withheld is paid by the 20th (CIRS art. 98(3)).</t>
  </si>
  <si>
    <t xml:space="preserve">Salaries and allowances</t>
  </si>
  <si>
    <t xml:space="preserve">Christmas allowance of one month by 15 December (Código do Trabalho art. 263), paid here with the November payroll; holiday allowance of one month before the holidays (art. 264), paid with the June payroll; 22 working days of holidays (art. 238) vest on 1 January for the work of the prior year (art. 237), so holiday pay and the holiday allowance are accrued as the work is done (IAS 19).</t>
  </si>
  <si>
    <t xml:space="preserve">Meal allowance on card per working day</t>
  </si>
  <si>
    <t xml:space="preserve">Below the 2026 exempt limit of EUR 10.455 on a meal card (idealista.pt, public sector allowance EUR 6.15 + 70%): no TSU, no IRS</t>
  </si>
  <si>
    <t xml:space="preserve">Working days a month</t>
  </si>
  <si>
    <t xml:space="preserve">days</t>
  </si>
  <si>
    <t xml:space="preserve">Holiday entitlement (working days a year)</t>
  </si>
  <si>
    <t xml:space="preserve">Work accident insurance premium on remuneration</t>
  </si>
  <si>
    <t xml:space="preserve">Mandatory insurance (assumption: 0.90% for office and field IT staff); information needed: the policy rate</t>
  </si>
  <si>
    <t xml:space="preserve">Health insurance per head a month</t>
  </si>
  <si>
    <t xml:space="preserve">Company plan (fictional)</t>
  </si>
  <si>
    <t xml:space="preserve">Work compensation funds</t>
  </si>
  <si>
    <t xml:space="preserve">No contributions: the FCT ended (Decreto-Lei 115/2023) and FGCT contributions remain suspended (Lei 13/2023).</t>
  </si>
  <si>
    <t xml:space="preserve">National minimum wage 2026 (monthly)</t>
  </si>
  <si>
    <t xml:space="preserve">Decreto-Lei 139/2025: EUR 920 from 1 January 2026 (every band is above it)</t>
  </si>
  <si>
    <t xml:space="preserve">IRS withholding 2026, Tabela I (single, no dependants): monthly remuneration from</t>
  </si>
  <si>
    <t xml:space="preserve">Up to</t>
  </si>
  <si>
    <t xml:space="preserve">Marginal rate</t>
  </si>
  <si>
    <t xml:space="preserve">Amount deducted</t>
  </si>
  <si>
    <t xml:space="preserve">Source</t>
  </si>
  <si>
    <t xml:space="preserve">Despacho n.º 233-A/2026; brackets up to EUR 1,154 use a formula deduction and are not needed (every salary is higher)</t>
  </si>
  <si>
    <t xml:space="preserve">PEOPLE: PAY BANDS (monthly base salary FY2026, paid 14 times; fictional payroll analysis)</t>
  </si>
  <si>
    <t xml:space="preserve">Band</t>
  </si>
  <si>
    <t xml:space="preserve">Department</t>
  </si>
  <si>
    <t xml:space="preserve">Monthly salary FY2026</t>
  </si>
  <si>
    <t xml:space="preserve">Headcount 31-Dec-25</t>
  </si>
  <si>
    <t xml:space="preserve">IRS withheld (rate, Tabela I)</t>
  </si>
  <si>
    <t xml:space="preserve">Service desk capacity</t>
  </si>
  <si>
    <t xml:space="preserve">Note</t>
  </si>
  <si>
    <t xml:space="preserve">L1</t>
  </si>
  <si>
    <t xml:space="preserve">SVC</t>
  </si>
  <si>
    <t xml:space="preserve">yes</t>
  </si>
  <si>
    <t xml:space="preserve">L2</t>
  </si>
  <si>
    <t xml:space="preserve">L3</t>
  </si>
  <si>
    <t xml:space="preserve">FLD</t>
  </si>
  <si>
    <t xml:space="preserve">NOC</t>
  </si>
  <si>
    <t xml:space="preserve">SDM</t>
  </si>
  <si>
    <t xml:space="preserve">no</t>
  </si>
  <si>
    <t xml:space="preserve">PEN</t>
  </si>
  <si>
    <t xml:space="preserve">PRJ</t>
  </si>
  <si>
    <t xml:space="preserve">PM</t>
  </si>
  <si>
    <t xml:space="preserve">SD</t>
  </si>
  <si>
    <t xml:space="preserve">SM</t>
  </si>
  <si>
    <t xml:space="preserve">AM</t>
  </si>
  <si>
    <t xml:space="preserve">PSE</t>
  </si>
  <si>
    <t xml:space="preserve">MKT</t>
  </si>
  <si>
    <t xml:space="preserve">DIR</t>
  </si>
  <si>
    <t xml:space="preserve">GA</t>
  </si>
  <si>
    <t xml:space="preserve">FIN</t>
  </si>
  <si>
    <t xml:space="preserve">HR</t>
  </si>
  <si>
    <t xml:space="preserve">PRC</t>
  </si>
  <si>
    <t xml:space="preserve">ADM</t>
  </si>
  <si>
    <t xml:space="preserve">Service desk capacity = service desk analysts, support and systems engineers, field technicians and NOC and security analysts. Account managers and the sales director also earn commission (People).</t>
  </si>
  <si>
    <t xml:space="preserve">Attrition a year, base: service delivery</t>
  </si>
  <si>
    <t xml:space="preserve">Company history and the Porto market for IT roles (company assumption)</t>
  </si>
  <si>
    <t xml:space="preserve">Attrition a year, base: projects</t>
  </si>
  <si>
    <t xml:space="preserve">Attrition a year, base: sales and marketing</t>
  </si>
  <si>
    <t xml:space="preserve">Attrition a year, base: general and administrative</t>
  </si>
  <si>
    <t xml:space="preserve">Equipment per new hire</t>
  </si>
  <si>
    <t xml:space="preserve">IT replacement cycle, capex a month</t>
  </si>
  <si>
    <t xml:space="preserve">Recruitment cost per hire</t>
  </si>
  <si>
    <t xml:space="preserve">Sales commission: share of the first-year value of new managed contracts</t>
  </si>
  <si>
    <t xml:space="preserve">Commission plan FY2026 (fictional), paid with the next payroll. Capitalised with its TSU as a cost of obtaining a 36-month contract and amortised over the term (IFRS 15.91 and 99); no commission on renewals</t>
  </si>
  <si>
    <t xml:space="preserve">Sales commission: share of hardware gross margin</t>
  </si>
  <si>
    <t xml:space="preserve">Expensed: it relates to hardware delivered in the month</t>
  </si>
  <si>
    <t xml:space="preserve">MANAGED SERVICES, SERVICE DESK AND LICENCES</t>
  </si>
  <si>
    <t xml:space="preserve">Managed service contract term (months)</t>
  </si>
  <si>
    <t xml:space="preserve">months</t>
  </si>
  <si>
    <t xml:space="preserve">Renewal every 36 months at the probability on the Contract_Register; price review at each anniversary</t>
  </si>
  <si>
    <t xml:space="preserve">Price review applied at anniversaries Jan to Aug 2026 (actual)</t>
  </si>
  <si>
    <t xml:space="preserve">Contract clause (fictional); forecast anniversaries use the scenario driver</t>
  </si>
  <si>
    <t xml:space="preserve">Onboarding fee per user at contract start</t>
  </si>
  <si>
    <t xml:space="preserve">Not a distinct service: recognised over the 36-month term (IFRS 15.B48 to B51); deferred balance is a contract liability</t>
  </si>
  <si>
    <t xml:space="preserve">Bundled licences: share of users covered</t>
  </si>
  <si>
    <t xml:space="preserve">share</t>
  </si>
  <si>
    <t xml:space="preserve">Per-user productivity and security subscriptions provisioned and supported inside the managed contract: principal (IFRS 15.B35A(b)), revenue monthly</t>
  </si>
  <si>
    <t xml:space="preserve">Bundled licences: price per user a month FY2026</t>
  </si>
  <si>
    <t xml:space="preserve">Bundled licences: vendor cost per user a month FY2026</t>
  </si>
  <si>
    <t xml:space="preserve">Bundled licences: vendor price change 1-Jan-27, passed through at the same margin</t>
  </si>
  <si>
    <t xml:space="preserve">Assumption; information needed: the vendor price list for 2027</t>
  </si>
  <si>
    <t xml:space="preserve">Tickets a month per user</t>
  </si>
  <si>
    <t xml:space="preserve">tickets</t>
  </si>
  <si>
    <t xml:space="preserve">PSA ticket history FY2025 (fictional)</t>
  </si>
  <si>
    <t xml:space="preserve">Tickets a month per device</t>
  </si>
  <si>
    <t xml:space="preserve">Tickets: share P1</t>
  </si>
  <si>
    <t xml:space="preserve">P1 critical to P4 low</t>
  </si>
  <si>
    <t xml:space="preserve">Hours per ticket P1</t>
  </si>
  <si>
    <t xml:space="preserve">hours</t>
  </si>
  <si>
    <t xml:space="preserve">Tickets: share P2</t>
  </si>
  <si>
    <t xml:space="preserve">Hours per ticket P2</t>
  </si>
  <si>
    <t xml:space="preserve">Tickets: share P3</t>
  </si>
  <si>
    <t xml:space="preserve">Hours per ticket P3</t>
  </si>
  <si>
    <t xml:space="preserve">Tickets: share P4</t>
  </si>
  <si>
    <t xml:space="preserve">Hours per ticket P4</t>
  </si>
  <si>
    <t xml:space="preserve">Average hours per ticket (weighted)</t>
  </si>
  <si>
    <t xml:space="preserve">Proactive hours a month per device (patching, monitoring, backups)</t>
  </si>
  <si>
    <t xml:space="preserve">Proactive hours a month per user (endpoint management)</t>
  </si>
  <si>
    <t xml:space="preserve">Share of proactive work deferred in proportion to holidays</t>
  </si>
  <si>
    <t xml:space="preserve">Onboarding hours per new user (start month)</t>
  </si>
  <si>
    <t xml:space="preserve">Productive hours per service desk FTE a month before holidays</t>
  </si>
  <si>
    <t xml:space="preserve">8 hours x 21 days x 75% (training, meetings, administration, absence)</t>
  </si>
  <si>
    <t xml:space="preserve">SLA attainment at or below the utilisation knee</t>
  </si>
  <si>
    <t xml:space="preserve">Fitted to FY2025 and FY2026 PSA data: attainment = max - slope x (utilisation - knee)</t>
  </si>
  <si>
    <t xml:space="preserve">Utilisation knee</t>
  </si>
  <si>
    <t xml:space="preserve">Slope of attainment above the knee</t>
  </si>
  <si>
    <t xml:space="preserve">Contractual SLA target (share of tickets inside response and resolution times)</t>
  </si>
  <si>
    <t xml:space="preserve">Band over which breaches spread across the contract base</t>
  </si>
  <si>
    <t xml:space="preserve">Share of fees in breach = (target - attainment) / band, capped at 100%</t>
  </si>
  <si>
    <t xml:space="preserve">SLA credit: share of the monthly fee of a contract in breach</t>
  </si>
  <si>
    <t xml:space="preserve">Variable consideration (IFRS 15.50 to 59): estimated in the month of the service, credited on the next invoice</t>
  </si>
  <si>
    <t xml:space="preserve">Annual licences: margin (vendor cost 76% of billing, prepaid for the year)</t>
  </si>
  <si>
    <t xml:space="preserve">Security and backup subscriptions bought in the company name and managed by it: principal; billed a year ahead, revenue and cost over 12 months</t>
  </si>
  <si>
    <t xml:space="preserve">Annual licences: share billed to customers in Portugal</t>
  </si>
  <si>
    <t xml:space="preserve">Licences resold as agent: commission (gross billing less vendor cost)</t>
  </si>
  <si>
    <t xml:space="preserve">Standard licences delivered by the manufacturer straight to the customer; the company never controls them (IFRS 15.B34 to B38; IFRIC agenda decision, Principal versus Agent: Software Reseller, 2022): revenue is the net commission</t>
  </si>
  <si>
    <t xml:space="preserve">Licences resold as agent: gross billing run-rate a month before seasonality</t>
  </si>
  <si>
    <t xml:space="preserve">Jan to Jul 2026 average</t>
  </si>
  <si>
    <t xml:space="preserve">Licences resold as agent: share billed in Portugal</t>
  </si>
  <si>
    <t xml:space="preserve">HARDWARE, REBATES AND PROJECTS</t>
  </si>
  <si>
    <t xml:space="preserve">Hardware: revenue run-rate a month before seasonality</t>
  </si>
  <si>
    <t xml:space="preserve">Jan to Jul 2026 average; FY2025 was lifted by the desktop refresh cycle</t>
  </si>
  <si>
    <t xml:space="preserve">Hardware: share delivered to customers in Spain (exempt intra-EU supply)</t>
  </si>
  <si>
    <t xml:space="preserve">Principal: the company buys, holds and configures the hardware and sets the price (IFRS 15.B37); revenue on delivery</t>
  </si>
  <si>
    <t xml:space="preserve">Hardware: stock in days of cost of sales</t>
  </si>
  <si>
    <t xml:space="preserve">Distributor rebate: quarterly purchases for tier 1</t>
  </si>
  <si>
    <t xml:space="preserve">Distributor programme 2026 (fictional): 1.5% from EUR 450k a quarter, 2.5% from EUR 650k; paid at the end of the second month after the quarter</t>
  </si>
  <si>
    <t xml:space="preserve">Distributor rebate: quarterly purchases for tier 2</t>
  </si>
  <si>
    <t xml:space="preserve">Distributor rebate: tier 1 rate</t>
  </si>
  <si>
    <t xml:space="preserve">Distributor rebate: tier 2 rate</t>
  </si>
  <si>
    <t xml:space="preserve">Licence vendor incentive on licence purchases</t>
  </si>
  <si>
    <t xml:space="preserve">Paid 45 days after the quarter. Rebates on purchases reduce cost of sales (IAS 2.11); the incentive on agent sales is part of the agent revenue</t>
  </si>
  <si>
    <t xml:space="preserve">Projects: standard cost of an own hour (loaded payroll)</t>
  </si>
  <si>
    <t xml:space="preserve">Used for the onerous test (IAS 37.66 to 69 and 68A: direct labour and costs that relate directly)</t>
  </si>
  <si>
    <t xml:space="preserve">Projects: specialist subcontractor rate per hour</t>
  </si>
  <si>
    <t xml:space="preserve">New project work: average realised rate per hour</t>
  </si>
  <si>
    <t xml:space="preserve">New project work: share done by own staff</t>
  </si>
  <si>
    <t xml:space="preserve">New project work not yet identified: first month</t>
  </si>
  <si>
    <t xml:space="preserve">Unidentified work fills the gap between the signed projects on the Project_Register and the scenario run-rate</t>
  </si>
  <si>
    <t xml:space="preserve">New project work: share billed in Portugal</t>
  </si>
  <si>
    <t xml:space="preserve">FY2025 project billing split</t>
  </si>
  <si>
    <t xml:space="preserve">Collection days: customers in Portugal</t>
  </si>
  <si>
    <t xml:space="preserve">FY2026 experience; invoices monthly in advance on 30 to 60-day terms</t>
  </si>
  <si>
    <t xml:space="preserve">Collection days: customers in Spain</t>
  </si>
  <si>
    <t xml:space="preserve">Disputed J11 final milestone (Talleres Brañoso, invoiced June)</t>
  </si>
  <si>
    <t xml:space="preserve">See AR_Aging</t>
  </si>
  <si>
    <t xml:space="preserve">DELIVERY COSTS AND OVERHEADS (EUR a month ex VAT, FY2026 level; overhead inflation from FY2027)</t>
  </si>
  <si>
    <t xml:space="preserve">Service tooling: price per endpoint a month</t>
  </si>
  <si>
    <t xml:space="preserve">USD</t>
  </si>
  <si>
    <t xml:space="preserve">RMM, PSA, endpoint security and backup platforms; US vendor invoicing in USD, paid on the 15th of the next month</t>
  </si>
  <si>
    <t xml:space="preserve">Service tooling: platform fee a month</t>
  </si>
  <si>
    <t xml:space="preserve">Endpoints per user (plus every managed device)</t>
  </si>
  <si>
    <t xml:space="preserve">Colocation and backup storage: fixed a month</t>
  </si>
  <si>
    <t xml:space="preserve">Colocation and backup storage per managed device</t>
  </si>
  <si>
    <t xml:space="preserve">Field vans: rental, fuel and tolls per van a month</t>
  </si>
  <si>
    <t xml:space="preserve">One van per field technician plus a pool van; VAT not recovered (simplification)</t>
  </si>
  <si>
    <t xml:space="preserve">Cabling and electrical subcontractors a month</t>
  </si>
  <si>
    <t xml:space="preserve">Lease to Dec-29 (fictional); paid monthly net of 25% IRC withheld</t>
  </si>
  <si>
    <t xml:space="preserve">Profile: x2.4 in March (statutory audit), x0.87 in other months</t>
  </si>
  <si>
    <t xml:space="preserve">Profile: x1.8 in May and October (events), x0.5 in August, x0.93 in other months</t>
  </si>
  <si>
    <t xml:space="preserve">Plus EUR 2,200 per hire (People)</t>
  </si>
  <si>
    <t xml:space="preserve">Overhead inflation applied from FY2027</t>
  </si>
  <si>
    <t xml:space="preserve">FINANCING, DEPRECIATION AND DIVIDENDS</t>
  </si>
  <si>
    <t xml:space="preserve">Bank term loan at 31-Dec-25 (acquisition of a Braga managed services business, April 2024)</t>
  </si>
  <si>
    <t xml:space="preserve">EUR 2.0m over 60 months from April 2024, monthly principal; Euribor 3M + 2.25% (fictional)</t>
  </si>
  <si>
    <t xml:space="preserve">Monthly principal repayment</t>
  </si>
  <si>
    <t xml:space="preserve">Loan margin over Euribor 3M</t>
  </si>
  <si>
    <t xml:space="preserve">Covenant: net debt / EBITDA (last 12 months) at most</t>
  </si>
  <si>
    <t xml:space="preserve">Tested at June and December; dividends allowed up to 50% of the prior-year net profit while covenants are met</t>
  </si>
  <si>
    <t xml:space="preserve">Covenant: debt service cover (EBITDA - tax paid - capex) / (principal + interest), last 12 months, at least</t>
  </si>
  <si>
    <t xml:space="preserve">Dividend on FY2025 profit (approved 30 March 2026, paid 29 May 2026)</t>
  </si>
  <si>
    <t xml:space="preserve">Paid net of 28% IRS; the withholding paid on 20 June</t>
  </si>
  <si>
    <t xml:space="preserve">Loan agreement: dividends capped at a share of the prior-year net profit</t>
  </si>
  <si>
    <t xml:space="preserve">And only while both covenants are met at the December test (fictional loan agreement)</t>
  </si>
  <si>
    <t xml:space="preserve">Depreciation of IT equipment held at 31-Dec-25 a month</t>
  </si>
  <si>
    <t xml:space="preserve">New IT equipment over 36 months</t>
  </si>
  <si>
    <t xml:space="preserve">Depreciation of the office fit-out a month</t>
  </si>
  <si>
    <t xml:space="preserve">Amortisation of acquired customer relationships a month</t>
  </si>
  <si>
    <t xml:space="preserve">EUR 480k over 8 years (IFRS 3, IAS 38); goodwill of EUR 920k is not amortised and is tested for impairment each year (IAS 36)</t>
  </si>
  <si>
    <t xml:space="preserve">SCENARIO DRIVERS  (C = Base, D = Downside, E = Upside, F = selected, G = YTD actual reference)</t>
  </si>
  <si>
    <t xml:space="preserve">Driver</t>
  </si>
  <si>
    <t xml:space="preserve">Selected</t>
  </si>
  <si>
    <t xml:space="preserve">Users and devices: growth (x contract rates on the register)</t>
  </si>
  <si>
    <t xml:space="preserve">FY2026 year to date 0.2% a month on average</t>
  </si>
  <si>
    <t xml:space="preserve">Price review at anniversaries from Sep-26</t>
  </si>
  <si>
    <t xml:space="preserve">Actual 2026 reviews: 2.6%</t>
  </si>
  <si>
    <t xml:space="preserve">Price change at the 36-month renewal</t>
  </si>
  <si>
    <t xml:space="preserve">On top of the anniversary review; renewal probabilities by contract sit on the Contract_Register</t>
  </si>
  <si>
    <t xml:space="preserve">Pipeline contracts: start delay</t>
  </si>
  <si>
    <t xml:space="preserve">Hardware demand (x run-rate)</t>
  </si>
  <si>
    <t xml:space="preserve">Jan to Jul 2026 average EUR 208k a month before seasonality</t>
  </si>
  <si>
    <t xml:space="preserve">Hardware margin before rebates</t>
  </si>
  <si>
    <t xml:space="preserve">FY2026 year to date 12.8%</t>
  </si>
  <si>
    <t xml:space="preserve">Annual licence billings: change on the same month a year earlier</t>
  </si>
  <si>
    <t xml:space="preserve">Licences resold as agent (x run-rate)</t>
  </si>
  <si>
    <t xml:space="preserve">Project revenue run-rate a month: signed projects topped up with work not yet identified (from Oct-26)</t>
  </si>
  <si>
    <t xml:space="preserve">FY2025: EUR 103k a month; Jan to Aug 2026: EUR 67k a month; x the FY2025 seasonal profile</t>
  </si>
  <si>
    <t xml:space="preserve">J01: extra hours to complete (share of the remaining estimate)</t>
  </si>
  <si>
    <t xml:space="preserve">Downside: the data migration needs more specialist time</t>
  </si>
  <si>
    <t xml:space="preserve">Planned hires made (share of the hiring plan on People)</t>
  </si>
  <si>
    <t xml:space="preserve">Downside response: a quarter of the plan held back</t>
  </si>
  <si>
    <t xml:space="preserve">Leavers replaced (share)</t>
  </si>
  <si>
    <t xml:space="preserve">Attrition (x base rates)</t>
  </si>
  <si>
    <t xml:space="preserve">Pay review January 2027</t>
  </si>
  <si>
    <t xml:space="preserve">The accrued holiday entitlement is revalued in December for the review</t>
  </si>
  <si>
    <t xml:space="preserve">Extra days to collect from customers</t>
  </si>
  <si>
    <t xml:space="preserve">Euribor 3M from Sep-26</t>
  </si>
  <si>
    <t xml:space="preserve">Monthly averages Jan to Aug 2026: 2.14% rising to 2.71% (EMMI data, idealista.pt)</t>
  </si>
  <si>
    <t xml:space="preserve">USD per EUR, forecast</t>
  </si>
  <si>
    <t xml:space="preserve">Base: ECB reference rate of 22-Sep-26</t>
  </si>
  <si>
    <t xml:space="preserve">Dividend on FY2026 profit, paid May 2027 (share of net profit)</t>
  </si>
  <si>
    <t xml:space="preserve">Loan agreement cap 50% of the prior-year net profit</t>
  </si>
  <si>
    <t xml:space="preserve">Disputed J11 milestone: month collected</t>
  </si>
  <si>
    <t xml:space="preserve">Disputed J11 milestone: share credited</t>
  </si>
  <si>
    <t xml:space="preserve">TIMELINE (24 months)</t>
  </si>
  <si>
    <t xml:space="preserve">Month end date</t>
  </si>
  <si>
    <t xml:space="preserve">Financial year</t>
  </si>
  <si>
    <t xml:space="preserve">Calendar month</t>
  </si>
  <si>
    <t xml:space="preserve">Days in month</t>
  </si>
  <si>
    <t xml:space="preserve">Months after the last actual month (growth compounding base)</t>
  </si>
  <si>
    <t xml:space="preserve">Pay and overhead inflation factor</t>
  </si>
  <si>
    <t xml:space="preserve">Overhead inflation factor</t>
  </si>
  <si>
    <t xml:space="preserve">Quarter number (1 = Q1-26)</t>
  </si>
  <si>
    <t xml:space="preserve">Seasonality: tickets (index)</t>
  </si>
  <si>
    <t xml:space="preserve">Seasonality: hardware (index)</t>
  </si>
  <si>
    <t xml:space="preserve">Seasonality: licences resold as agent (index)</t>
  </si>
  <si>
    <t xml:space="preserve">Seasonality: project work (index, FY2025 profile)</t>
  </si>
  <si>
    <t xml:space="preserve">Holidays taken: share of the 22 days in the month</t>
  </si>
  <si>
    <t xml:space="preserve">Holiday share of working time in the month</t>
  </si>
  <si>
    <t xml:space="preserve">USD per EUR (A: ECB monthly average; F: scenario driver)</t>
  </si>
  <si>
    <t xml:space="preserve">Euribor 3M (A: monthly average; F: scenario driver)</t>
  </si>
  <si>
    <t xml:space="preserve">Bundled licences: price per user a month</t>
  </si>
  <si>
    <t xml:space="preserve">Bundled licences: vendor cost per user a month</t>
  </si>
  <si>
    <t xml:space="preserve">IRC general rate for the year</t>
  </si>
  <si>
    <t xml:space="preserve">INPUTS: ACTUAL MONTHS (FICTIONAL LEDGER, BILLING, PSA, PAYROLL AND BANK)</t>
  </si>
  <si>
    <t xml:space="preserve">Jan-26 to Aug-26 are fictional actuals entered as inputs. Forecast months are blank by design and are driven from Assumptions, History and the registers.</t>
  </si>
  <si>
    <t xml:space="preserve">MANAGED SERVICES BY CONTRACT (billing system and RMM counts)</t>
  </si>
  <si>
    <t xml:space="preserve">C01 Brevanor Têxteis, S.A.: users</t>
  </si>
  <si>
    <t xml:space="preserve">RMM / billing</t>
  </si>
  <si>
    <t xml:space="preserve">C02 Clínicas Almedra, Lda: users</t>
  </si>
  <si>
    <t xml:space="preserve">C03 Solvinha Calçado, Lda: users</t>
  </si>
  <si>
    <t xml:space="preserve">C04 Valcorra Advogados: users</t>
  </si>
  <si>
    <t xml:space="preserve">C05 Colégios Maravel: users</t>
  </si>
  <si>
    <t xml:space="preserve">C06 Metalúrgica Vaurinho, Lda: users</t>
  </si>
  <si>
    <t xml:space="preserve">C07 Quintas Delvara, S.A.: users</t>
  </si>
  <si>
    <t xml:space="preserve">C08 Farmácias Oliveda: users</t>
  </si>
  <si>
    <t xml:space="preserve">C09 Moldivel Plásticos, S.A.: users</t>
  </si>
  <si>
    <t xml:space="preserve">C10 Pravel Contabilidade, Lda: users</t>
  </si>
  <si>
    <t xml:space="preserve">C11 Hotéis Alvenosa: users</t>
  </si>
  <si>
    <t xml:space="preserve">C12 Cerâmicas Lovredo, S.A.: users</t>
  </si>
  <si>
    <t xml:space="preserve">C13 Castelvi Imobiliária: users</t>
  </si>
  <si>
    <t xml:space="preserve">C14 Agrícola Vinhedal: users</t>
  </si>
  <si>
    <t xml:space="preserve">C15 Engenharia Morvelo, Lda: users</t>
  </si>
  <si>
    <t xml:space="preserve">C16 Cooperativa Leiteira Bravanha: users</t>
  </si>
  <si>
    <t xml:space="preserve">C17 Laboratórios Cendral, Lda: users</t>
  </si>
  <si>
    <t xml:space="preserve">C18 Mediavir Seguros: users</t>
  </si>
  <si>
    <t xml:space="preserve">C19 Construtora Arvedo, S.A.: users</t>
  </si>
  <si>
    <t xml:space="preserve">C20 Distribuidora Pellano, Lda: users</t>
  </si>
  <si>
    <t xml:space="preserve">C21 Gráfica Tornavel, Lda: users</t>
  </si>
  <si>
    <t xml:space="preserve">C22 Óticas Lumarel: users</t>
  </si>
  <si>
    <t xml:space="preserve">C23 Salmeira Arquitetos: users</t>
  </si>
  <si>
    <t xml:space="preserve">C24 Traslovia Transportes, Lda: users</t>
  </si>
  <si>
    <t xml:space="preserve">C25 Conservas Brelmar, S.L.: users</t>
  </si>
  <si>
    <t xml:space="preserve">C26 Talleres Brañoso, S.L.: users</t>
  </si>
  <si>
    <t xml:space="preserve">C27 Clínica Veigadal, S.L.: users</t>
  </si>
  <si>
    <t xml:space="preserve">C28 Maderas Ouriñal, S.L.: users</t>
  </si>
  <si>
    <t xml:space="preserve">C29 Pesqueras Morazal, S.L.: users</t>
  </si>
  <si>
    <t xml:space="preserve">C30 Bodegas Quenlla, S.L.: users</t>
  </si>
  <si>
    <t xml:space="preserve">C31 Ferroval Automação, Lda: users</t>
  </si>
  <si>
    <t xml:space="preserve">C32 Clínica Dentária Rosmel: users</t>
  </si>
  <si>
    <t xml:space="preserve">C33 Mobiliário Tarvela, Lda: users</t>
  </si>
  <si>
    <t xml:space="preserve">C01: devices</t>
  </si>
  <si>
    <t xml:space="preserve">C02: devices</t>
  </si>
  <si>
    <t xml:space="preserve">C03: devices</t>
  </si>
  <si>
    <t xml:space="preserve">C04: devices</t>
  </si>
  <si>
    <t xml:space="preserve">C05: devices</t>
  </si>
  <si>
    <t xml:space="preserve">C06: devices</t>
  </si>
  <si>
    <t xml:space="preserve">C07: devices</t>
  </si>
  <si>
    <t xml:space="preserve">C08: devices</t>
  </si>
  <si>
    <t xml:space="preserve">C09: devices</t>
  </si>
  <si>
    <t xml:space="preserve">C10: devices</t>
  </si>
  <si>
    <t xml:space="preserve">C11: devices</t>
  </si>
  <si>
    <t xml:space="preserve">C12: devices</t>
  </si>
  <si>
    <t xml:space="preserve">C13: devices</t>
  </si>
  <si>
    <t xml:space="preserve">C14: devices</t>
  </si>
  <si>
    <t xml:space="preserve">C15: devices</t>
  </si>
  <si>
    <t xml:space="preserve">C16: devices</t>
  </si>
  <si>
    <t xml:space="preserve">C17: devices</t>
  </si>
  <si>
    <t xml:space="preserve">C18: devices</t>
  </si>
  <si>
    <t xml:space="preserve">C19: devices</t>
  </si>
  <si>
    <t xml:space="preserve">C20: devices</t>
  </si>
  <si>
    <t xml:space="preserve">C21: devices</t>
  </si>
  <si>
    <t xml:space="preserve">C22: devices</t>
  </si>
  <si>
    <t xml:space="preserve">C23: devices</t>
  </si>
  <si>
    <t xml:space="preserve">C24: devices</t>
  </si>
  <si>
    <t xml:space="preserve">C25: devices</t>
  </si>
  <si>
    <t xml:space="preserve">C26: devices</t>
  </si>
  <si>
    <t xml:space="preserve">C27: devices</t>
  </si>
  <si>
    <t xml:space="preserve">C28: devices</t>
  </si>
  <si>
    <t xml:space="preserve">C29: devices</t>
  </si>
  <si>
    <t xml:space="preserve">C30: devices</t>
  </si>
  <si>
    <t xml:space="preserve">C31: devices</t>
  </si>
  <si>
    <t xml:space="preserve">C32: devices</t>
  </si>
  <si>
    <t xml:space="preserve">C33: devices</t>
  </si>
  <si>
    <t xml:space="preserve">C01: managed service fees billed</t>
  </si>
  <si>
    <t xml:space="preserve">billing system</t>
  </si>
  <si>
    <t xml:space="preserve">C02: managed service fees billed</t>
  </si>
  <si>
    <t xml:space="preserve">C03: managed service fees billed</t>
  </si>
  <si>
    <t xml:space="preserve">C04: managed service fees billed</t>
  </si>
  <si>
    <t xml:space="preserve">C05: managed service fees billed</t>
  </si>
  <si>
    <t xml:space="preserve">C06: managed service fees billed</t>
  </si>
  <si>
    <t xml:space="preserve">C07: managed service fees billed</t>
  </si>
  <si>
    <t xml:space="preserve">C08: managed service fees billed</t>
  </si>
  <si>
    <t xml:space="preserve">C09: managed service fees billed</t>
  </si>
  <si>
    <t xml:space="preserve">C10: managed service fees billed</t>
  </si>
  <si>
    <t xml:space="preserve">C11: managed service fees billed</t>
  </si>
  <si>
    <t xml:space="preserve">C12: managed service fees billed</t>
  </si>
  <si>
    <t xml:space="preserve">C13: managed service fees billed</t>
  </si>
  <si>
    <t xml:space="preserve">C14: managed service fees billed</t>
  </si>
  <si>
    <t xml:space="preserve">C15: managed service fees billed</t>
  </si>
  <si>
    <t xml:space="preserve">C16: managed service fees billed</t>
  </si>
  <si>
    <t xml:space="preserve">C17: managed service fees billed</t>
  </si>
  <si>
    <t xml:space="preserve">C18: managed service fees billed</t>
  </si>
  <si>
    <t xml:space="preserve">C19: managed service fees billed</t>
  </si>
  <si>
    <t xml:space="preserve">C20: managed service fees billed</t>
  </si>
  <si>
    <t xml:space="preserve">C21: managed service fees billed</t>
  </si>
  <si>
    <t xml:space="preserve">C22: managed service fees billed</t>
  </si>
  <si>
    <t xml:space="preserve">C23: managed service fees billed</t>
  </si>
  <si>
    <t xml:space="preserve">C24: managed service fees billed</t>
  </si>
  <si>
    <t xml:space="preserve">C25: managed service fees billed</t>
  </si>
  <si>
    <t xml:space="preserve">C26: managed service fees billed</t>
  </si>
  <si>
    <t xml:space="preserve">C27: managed service fees billed</t>
  </si>
  <si>
    <t xml:space="preserve">C28: managed service fees billed</t>
  </si>
  <si>
    <t xml:space="preserve">C29: managed service fees billed</t>
  </si>
  <si>
    <t xml:space="preserve">C30: managed service fees billed</t>
  </si>
  <si>
    <t xml:space="preserve">C31: managed service fees billed</t>
  </si>
  <si>
    <t xml:space="preserve">C32: managed service fees billed</t>
  </si>
  <si>
    <t xml:space="preserve">C33: managed service fees billed</t>
  </si>
  <si>
    <t xml:space="preserve">Bundled licences billed</t>
  </si>
  <si>
    <t xml:space="preserve">Bundled licences: vendor cost</t>
  </si>
  <si>
    <t xml:space="preserve">distributor invoices</t>
  </si>
  <si>
    <t xml:space="preserve">SERVICE DESK (PSA)</t>
  </si>
  <si>
    <t xml:space="preserve">PSA</t>
  </si>
  <si>
    <t xml:space="preserve">SLA attainment (tickets inside response and resolution times)</t>
  </si>
  <si>
    <t xml:space="preserve">SLA credits for the month (credited on the next invoice)</t>
  </si>
  <si>
    <t xml:space="preserve">credit notes</t>
  </si>
  <si>
    <t xml:space="preserve">LICENCES, HARDWARE AND REBATES</t>
  </si>
  <si>
    <t xml:space="preserve">Annual licences billed</t>
  </si>
  <si>
    <t xml:space="preserve">Licences resold as agent: gross billing</t>
  </si>
  <si>
    <t xml:space="preserve">ledger</t>
  </si>
  <si>
    <t xml:space="preserve">Hardware cost of sales before rebates</t>
  </si>
  <si>
    <t xml:space="preserve">Hardware stock at month end</t>
  </si>
  <si>
    <t xml:space="preserve">stock count</t>
  </si>
  <si>
    <t xml:space="preserve">CFO estimate on the quarterly tier</t>
  </si>
  <si>
    <t xml:space="preserve">Licence incentive accrued: principal licences</t>
  </si>
  <si>
    <t xml:space="preserve">vendor statement</t>
  </si>
  <si>
    <t xml:space="preserve">Licence incentive accrued: licences resold as agent</t>
  </si>
  <si>
    <t xml:space="preserve">PROJECTS (timesheets, billing and the monthly estimate review)</t>
  </si>
  <si>
    <t xml:space="preserve">J01: own hours</t>
  </si>
  <si>
    <t xml:space="preserve">timesheets</t>
  </si>
  <si>
    <t xml:space="preserve">J01: subcontract hours</t>
  </si>
  <si>
    <t xml:space="preserve">subcontractor invoices</t>
  </si>
  <si>
    <t xml:space="preserve">J02: own hours</t>
  </si>
  <si>
    <t xml:space="preserve">J02: subcontract hours</t>
  </si>
  <si>
    <t xml:space="preserve">J03: own hours</t>
  </si>
  <si>
    <t xml:space="preserve">J03: subcontract hours</t>
  </si>
  <si>
    <t xml:space="preserve">J04: own hours</t>
  </si>
  <si>
    <t xml:space="preserve">J04: subcontract hours</t>
  </si>
  <si>
    <t xml:space="preserve">J05: own hours</t>
  </si>
  <si>
    <t xml:space="preserve">J05: subcontract hours</t>
  </si>
  <si>
    <t xml:space="preserve">J06: own hours</t>
  </si>
  <si>
    <t xml:space="preserve">J06: subcontract hours</t>
  </si>
  <si>
    <t xml:space="preserve">J07: own hours</t>
  </si>
  <si>
    <t xml:space="preserve">J07: subcontract hours</t>
  </si>
  <si>
    <t xml:space="preserve">J08: own hours</t>
  </si>
  <si>
    <t xml:space="preserve">J08: subcontract hours</t>
  </si>
  <si>
    <t xml:space="preserve">J09: own hours</t>
  </si>
  <si>
    <t xml:space="preserve">J09: subcontract hours</t>
  </si>
  <si>
    <t xml:space="preserve">J10: own hours</t>
  </si>
  <si>
    <t xml:space="preserve">J10: subcontract hours</t>
  </si>
  <si>
    <t xml:space="preserve">J11: own hours</t>
  </si>
  <si>
    <t xml:space="preserve">J11: subcontract hours</t>
  </si>
  <si>
    <t xml:space="preserve">J12: own hours</t>
  </si>
  <si>
    <t xml:space="preserve">J12: subcontract hours</t>
  </si>
  <si>
    <t xml:space="preserve">J01: revenue (progress on the estimate of the month)</t>
  </si>
  <si>
    <t xml:space="preserve">project ledger</t>
  </si>
  <si>
    <t xml:space="preserve">J01: billed</t>
  </si>
  <si>
    <t xml:space="preserve">J01: onerous provision at month end</t>
  </si>
  <si>
    <t xml:space="preserve">estimate review</t>
  </si>
  <si>
    <t xml:space="preserve">J02: revenue (progress on the estimate of the month)</t>
  </si>
  <si>
    <t xml:space="preserve">J02: billed</t>
  </si>
  <si>
    <t xml:space="preserve">J02: onerous provision at month end</t>
  </si>
  <si>
    <t xml:space="preserve">J03: revenue (progress on the estimate of the month)</t>
  </si>
  <si>
    <t xml:space="preserve">J03: billed</t>
  </si>
  <si>
    <t xml:space="preserve">J03: onerous provision at month end</t>
  </si>
  <si>
    <t xml:space="preserve">J04: revenue (progress on the estimate of the month)</t>
  </si>
  <si>
    <t xml:space="preserve">J04: billed</t>
  </si>
  <si>
    <t xml:space="preserve">J04: onerous provision at month end</t>
  </si>
  <si>
    <t xml:space="preserve">J05: revenue (progress on the estimate of the month)</t>
  </si>
  <si>
    <t xml:space="preserve">J05: billed</t>
  </si>
  <si>
    <t xml:space="preserve">J05: onerous provision at month end</t>
  </si>
  <si>
    <t xml:space="preserve">J06: revenue (progress on the estimate of the month)</t>
  </si>
  <si>
    <t xml:space="preserve">J06: billed</t>
  </si>
  <si>
    <t xml:space="preserve">J06: onerous provision at month end</t>
  </si>
  <si>
    <t xml:space="preserve">J07: revenue (progress on the estimate of the month)</t>
  </si>
  <si>
    <t xml:space="preserve">J07: billed</t>
  </si>
  <si>
    <t xml:space="preserve">J07: onerous provision at month end</t>
  </si>
  <si>
    <t xml:space="preserve">J08: revenue (progress on the estimate of the month)</t>
  </si>
  <si>
    <t xml:space="preserve">J08: billed</t>
  </si>
  <si>
    <t xml:space="preserve">J08: onerous provision at month end</t>
  </si>
  <si>
    <t xml:space="preserve">J09: revenue (progress on the estimate of the month)</t>
  </si>
  <si>
    <t xml:space="preserve">J09: billed</t>
  </si>
  <si>
    <t xml:space="preserve">J09: onerous provision at month end</t>
  </si>
  <si>
    <t xml:space="preserve">J10: revenue (progress on the estimate of the month)</t>
  </si>
  <si>
    <t xml:space="preserve">J10: billed</t>
  </si>
  <si>
    <t xml:space="preserve">J10: onerous provision at month end</t>
  </si>
  <si>
    <t xml:space="preserve">J11: revenue (progress on the estimate of the month)</t>
  </si>
  <si>
    <t xml:space="preserve">J11: billed</t>
  </si>
  <si>
    <t xml:space="preserve">J11: onerous provision at month end</t>
  </si>
  <si>
    <t xml:space="preserve">J12: revenue (progress on the estimate of the month)</t>
  </si>
  <si>
    <t xml:space="preserve">J12: billed</t>
  </si>
  <si>
    <t xml:space="preserve">J12: onerous provision at month end</t>
  </si>
  <si>
    <t xml:space="preserve">PAYROLL BY DEPARTMENT (payroll journal) AND HEADCOUNT</t>
  </si>
  <si>
    <t xml:space="preserve">payroll journal</t>
  </si>
  <si>
    <t xml:space="preserve">Service delivery: employer social security</t>
  </si>
  <si>
    <t xml:space="preserve">Service delivery: employee social security</t>
  </si>
  <si>
    <t xml:space="preserve">Service delivery: meal allowance (card)</t>
  </si>
  <si>
    <t xml:space="preserve">Projects: employer social security</t>
  </si>
  <si>
    <t xml:space="preserve">Projects: employee social security</t>
  </si>
  <si>
    <t xml:space="preserve">Projects: meal allowance (card)</t>
  </si>
  <si>
    <t xml:space="preserve">Sales and marketing: commissions paid</t>
  </si>
  <si>
    <t xml:space="preserve">Sales and marketing: employer social security</t>
  </si>
  <si>
    <t xml:space="preserve">Sales and marketing: employee social security</t>
  </si>
  <si>
    <t xml:space="preserve">Sales and marketing: meal allowance (card)</t>
  </si>
  <si>
    <t xml:space="preserve">General and administrative: employer social security</t>
  </si>
  <si>
    <t xml:space="preserve">General and administrative: employee social security</t>
  </si>
  <si>
    <t xml:space="preserve">General and administrative: meal allowance (card)</t>
  </si>
  <si>
    <t xml:space="preserve">Headcount: Service desk analysts</t>
  </si>
  <si>
    <t xml:space="preserve">payroll</t>
  </si>
  <si>
    <t xml:space="preserve">Headcount: Support engineers</t>
  </si>
  <si>
    <t xml:space="preserve">Headcount: Systems engineers</t>
  </si>
  <si>
    <t xml:space="preserve">Headcount: Field technicians</t>
  </si>
  <si>
    <t xml:space="preserve">Headcount: NOC and security analysts</t>
  </si>
  <si>
    <t xml:space="preserve">Headcount: Service delivery managers</t>
  </si>
  <si>
    <t xml:space="preserve">Headcount: Project engineers</t>
  </si>
  <si>
    <t xml:space="preserve">Headcount: Project managers</t>
  </si>
  <si>
    <t xml:space="preserve">Headcount: Sales director</t>
  </si>
  <si>
    <t xml:space="preserve">Headcount: Account managers</t>
  </si>
  <si>
    <t xml:space="preserve">Headcount: Presales engineer</t>
  </si>
  <si>
    <t xml:space="preserve">Headcount: Marketing</t>
  </si>
  <si>
    <t xml:space="preserve">Headcount: Directors (CEO and CTO, founders)</t>
  </si>
  <si>
    <t xml:space="preserve">Headcount: Finance</t>
  </si>
  <si>
    <t xml:space="preserve">Headcount: People and HR</t>
  </si>
  <si>
    <t xml:space="preserve">Headcount: Procurement and logistics</t>
  </si>
  <si>
    <t xml:space="preserve">Headcount: Office administration</t>
  </si>
  <si>
    <t xml:space="preserve">commission statements</t>
  </si>
  <si>
    <t xml:space="preserve">DELIVERY COSTS, OVERHEADS AND CAPEX</t>
  </si>
  <si>
    <t xml:space="preserve">Service tooling invoice (USD)</t>
  </si>
  <si>
    <t xml:space="preserve">vendor invoice</t>
  </si>
  <si>
    <t xml:space="preserve">supplier invoice</t>
  </si>
  <si>
    <t xml:space="preserve">Field vans: rental, fuel and tolls</t>
  </si>
  <si>
    <t xml:space="preserve">direct debits</t>
  </si>
  <si>
    <t xml:space="preserve">supplier invoices</t>
  </si>
  <si>
    <t xml:space="preserve">asset register</t>
  </si>
  <si>
    <t xml:space="preserve">RECEIPTS (bank)</t>
  </si>
  <si>
    <t xml:space="preserve">Customer receipts: Portugal (incl. VAT)</t>
  </si>
  <si>
    <t xml:space="preserve">bank</t>
  </si>
  <si>
    <t xml:space="preserve">Distributor rebate received</t>
  </si>
  <si>
    <t xml:space="preserve">Licence incentive received</t>
  </si>
  <si>
    <t xml:space="preserve">PAYMENTS (bank)</t>
  </si>
  <si>
    <t xml:space="preserve">Hardware distributors (incl. VAT)</t>
  </si>
  <si>
    <t xml:space="preserve">Licence distributor (incl. VAT)</t>
  </si>
  <si>
    <t xml:space="preserve">Other suppliers (incl. VAT)</t>
  </si>
  <si>
    <t xml:space="preserve">Service tooling vendor (EUR debited)</t>
  </si>
  <si>
    <t xml:space="preserve">VAT (25th of the second month)</t>
  </si>
  <si>
    <t xml:space="preserve">IRC: balance for the prior year (Modelo 22)</t>
  </si>
  <si>
    <t xml:space="preserve">IRC: payments on account</t>
  </si>
  <si>
    <t xml:space="preserve">Dividends declared (general meeting of 30 March 2026)</t>
  </si>
  <si>
    <t xml:space="preserve">minutes</t>
  </si>
  <si>
    <t xml:space="preserve">Dividends paid (net of IRS withheld)</t>
  </si>
  <si>
    <t xml:space="preserve">OPENING BALANCE SHEET AT 31-DEC-25 (FY2025 accounts, fictional)</t>
  </si>
  <si>
    <t xml:space="preserve">FY25 accounts</t>
  </si>
  <si>
    <t xml:space="preserve">Contract assets: projects</t>
  </si>
  <si>
    <t xml:space="preserve">IT equipment: cost</t>
  </si>
  <si>
    <t xml:space="preserve">IT equipment: accumulated depreciation</t>
  </si>
  <si>
    <t xml:space="preserve">Office fit-out: cost</t>
  </si>
  <si>
    <t xml:space="preserve">Office fit-out: accumulated depreciation</t>
  </si>
  <si>
    <t xml:space="preserve">Customer relationships: cost</t>
  </si>
  <si>
    <t xml:space="preserve">Customer relationships: accumulated amortisation</t>
  </si>
  <si>
    <t xml:space="preserve">Trade payables: service tooling vendor (USD, at the December rate)</t>
  </si>
  <si>
    <t xml:space="preserve">Contract liabilities: projects billed ahead</t>
  </si>
  <si>
    <t xml:space="preserve">VAT payable (November and December returns)</t>
  </si>
  <si>
    <t xml:space="preserve">Social security payable (December)</t>
  </si>
  <si>
    <t xml:space="preserve">IRS withheld payable (December)</t>
  </si>
  <si>
    <t xml:space="preserve">Commissions payable (incl. social security)</t>
  </si>
  <si>
    <t xml:space="preserve">Holiday pay and holiday allowance accrued (vested 1-Jan-26, incl. social security)</t>
  </si>
  <si>
    <t xml:space="preserve">Corporate income tax payable (FY2025 balance)</t>
  </si>
  <si>
    <t xml:space="preserve">HISTORY: FY2025 BY MONTH AND MANAGED SERVICE FEES BY CONTRACT (FICTIONAL LEDGER, PSA AND BILLING SYSTEMS)</t>
  </si>
  <si>
    <t xml:space="preserve">Inputs from before the model starts: year-on-year growth, trailing twelve-month retention by contract, the annual licence billings still being recognised in FY2026 and the FY2025 comparatives.</t>
  </si>
  <si>
    <t xml:space="preserve">Key</t>
  </si>
  <si>
    <t xml:space="preserve">Jan-25</t>
  </si>
  <si>
    <t xml:space="preserve">Feb-25</t>
  </si>
  <si>
    <t xml:space="preserve">Mar-25</t>
  </si>
  <si>
    <t xml:space="preserve">Apr-25</t>
  </si>
  <si>
    <t xml:space="preserve">May-25</t>
  </si>
  <si>
    <t xml:space="preserve">Jun-25</t>
  </si>
  <si>
    <t xml:space="preserve">Jul-25</t>
  </si>
  <si>
    <t xml:space="preserve">Aug-25</t>
  </si>
  <si>
    <t xml:space="preserve">Sep-25</t>
  </si>
  <si>
    <t xml:space="preserve">Oct-25</t>
  </si>
  <si>
    <t xml:space="preserve">Nov-25</t>
  </si>
  <si>
    <t xml:space="preserve">Dec-25</t>
  </si>
  <si>
    <t xml:space="preserve">FY2025</t>
  </si>
  <si>
    <t xml:space="preserve">r_ms</t>
  </si>
  <si>
    <t xml:space="preserve">Managed services: SLA credits</t>
  </si>
  <si>
    <t xml:space="preserve">r_sla</t>
  </si>
  <si>
    <t xml:space="preserve">r_onb</t>
  </si>
  <si>
    <t xml:space="preserve">Licences bundled in managed contracts</t>
  </si>
  <si>
    <t xml:space="preserve">r_licb</t>
  </si>
  <si>
    <t xml:space="preserve">Annual licences (recognised over 12 months)</t>
  </si>
  <si>
    <t xml:space="preserve">r_lica</t>
  </si>
  <si>
    <t xml:space="preserve">Licences resold as agent: commission and incentive</t>
  </si>
  <si>
    <t xml:space="preserve">r_licg</t>
  </si>
  <si>
    <t xml:space="preserve">r_hw</t>
  </si>
  <si>
    <t xml:space="preserve">r_prj</t>
  </si>
  <si>
    <t xml:space="preserve">rev</t>
  </si>
  <si>
    <t xml:space="preserve">COST OF REVENUE, OPERATING EXPENSES AND PROFIT</t>
  </si>
  <si>
    <t xml:space="preserve">c_hwc</t>
  </si>
  <si>
    <t xml:space="preserve">c_lic</t>
  </si>
  <si>
    <t xml:space="preserve">Service tooling (EUR)</t>
  </si>
  <si>
    <t xml:space="preserve">c_tool</t>
  </si>
  <si>
    <t xml:space="preserve">c_coloc</t>
  </si>
  <si>
    <t xml:space="preserve">c_veh</t>
  </si>
  <si>
    <t xml:space="preserve">c_sub</t>
  </si>
  <si>
    <t xml:space="preserve">c_pay_svc</t>
  </si>
  <si>
    <t xml:space="preserve">c_pay_prj</t>
  </si>
  <si>
    <t xml:space="preserve">Cost of revenue</t>
  </si>
  <si>
    <t xml:space="preserve">cor</t>
  </si>
  <si>
    <t xml:space="preserve">Gross profit</t>
  </si>
  <si>
    <t xml:space="preserve">gp</t>
  </si>
  <si>
    <t xml:space="preserve">pay_sm</t>
  </si>
  <si>
    <t xml:space="preserve">pay_ga</t>
  </si>
  <si>
    <t xml:space="preserve">ox</t>
  </si>
  <si>
    <t xml:space="preserve">ebitda</t>
  </si>
  <si>
    <t xml:space="preserve">da</t>
  </si>
  <si>
    <t xml:space="preserve">int</t>
  </si>
  <si>
    <t xml:space="preserve">fxd</t>
  </si>
  <si>
    <t xml:space="preserve">pbt</t>
  </si>
  <si>
    <t xml:space="preserve">DRIVERS</t>
  </si>
  <si>
    <t xml:space="preserve">Managed users at month end</t>
  </si>
  <si>
    <t xml:space="preserve">users</t>
  </si>
  <si>
    <t xml:space="preserve">Managed devices at month end</t>
  </si>
  <si>
    <t xml:space="preserve">devs</t>
  </si>
  <si>
    <t xml:space="preserve">Managed service fees a month (MRR)</t>
  </si>
  <si>
    <t xml:space="preserve">mrr</t>
  </si>
  <si>
    <t xml:space="preserve">tick</t>
  </si>
  <si>
    <t xml:space="preserve">util</t>
  </si>
  <si>
    <t xml:space="preserve">att</t>
  </si>
  <si>
    <t xml:space="preserve">credit</t>
  </si>
  <si>
    <t xml:space="preserve">desk</t>
  </si>
  <si>
    <t xml:space="preserve">hc</t>
  </si>
  <si>
    <t xml:space="preserve">Annual licence billings</t>
  </si>
  <si>
    <t xml:space="preserve">lica_b</t>
  </si>
  <si>
    <t xml:space="preserve">licg_g</t>
  </si>
  <si>
    <t xml:space="preserve">hw_pur</t>
  </si>
  <si>
    <t xml:space="preserve">rb</t>
  </si>
  <si>
    <t xml:space="preserve">Corporate income tax paid (FY2024 balance in May, payments on account in July, September and December)</t>
  </si>
  <si>
    <t xml:space="preserve">tax_paid</t>
  </si>
  <si>
    <t xml:space="preserve">Capex</t>
  </si>
  <si>
    <t xml:space="preserve">capex</t>
  </si>
  <si>
    <t xml:space="preserve">Loan principal repaid</t>
  </si>
  <si>
    <t xml:space="preserve">prin</t>
  </si>
  <si>
    <t xml:space="preserve">MANAGED SERVICE FEES BY CONTRACT (EUR a month; order as on the Contract_Register)</t>
  </si>
  <si>
    <t xml:space="preserve">mrr|C01</t>
  </si>
  <si>
    <t xml:space="preserve">mrr|C02</t>
  </si>
  <si>
    <t xml:space="preserve">mrr|C03</t>
  </si>
  <si>
    <t xml:space="preserve">mrr|C04</t>
  </si>
  <si>
    <t xml:space="preserve">mrr|C05</t>
  </si>
  <si>
    <t xml:space="preserve">mrr|C06</t>
  </si>
  <si>
    <t xml:space="preserve">mrr|C07</t>
  </si>
  <si>
    <t xml:space="preserve">mrr|C08</t>
  </si>
  <si>
    <t xml:space="preserve">mrr|C09</t>
  </si>
  <si>
    <t xml:space="preserve">mrr|C10</t>
  </si>
  <si>
    <t xml:space="preserve">mrr|C11</t>
  </si>
  <si>
    <t xml:space="preserve">mrr|C12</t>
  </si>
  <si>
    <t xml:space="preserve">mrr|C13</t>
  </si>
  <si>
    <t xml:space="preserve">mrr|C14</t>
  </si>
  <si>
    <t xml:space="preserve">mrr|C15</t>
  </si>
  <si>
    <t xml:space="preserve">mrr|C16</t>
  </si>
  <si>
    <t xml:space="preserve">mrr|C17</t>
  </si>
  <si>
    <t xml:space="preserve">mrr|C18</t>
  </si>
  <si>
    <t xml:space="preserve">mrr|C19</t>
  </si>
  <si>
    <t xml:space="preserve">mrr|C20</t>
  </si>
  <si>
    <t xml:space="preserve">mrr|C21</t>
  </si>
  <si>
    <t xml:space="preserve">mrr|C22</t>
  </si>
  <si>
    <t xml:space="preserve">mrr|C23</t>
  </si>
  <si>
    <t xml:space="preserve">mrr|C24</t>
  </si>
  <si>
    <t xml:space="preserve">mrr|C25</t>
  </si>
  <si>
    <t xml:space="preserve">mrr|C26</t>
  </si>
  <si>
    <t xml:space="preserve">mrr|C27</t>
  </si>
  <si>
    <t xml:space="preserve">mrr|C28</t>
  </si>
  <si>
    <t xml:space="preserve">mrr|C29</t>
  </si>
  <si>
    <t xml:space="preserve">mrr|C30</t>
  </si>
  <si>
    <t xml:space="preserve">mrr|C31</t>
  </si>
  <si>
    <t xml:space="preserve">mrr|C32</t>
  </si>
  <si>
    <t xml:space="preserve">mrr|C33</t>
  </si>
  <si>
    <t xml:space="preserve">P01 Grupo Hospitalar Venara</t>
  </si>
  <si>
    <t xml:space="preserve">mrr|P01</t>
  </si>
  <si>
    <t xml:space="preserve">P02 Exportadora Linhelo, S.A.</t>
  </si>
  <si>
    <t xml:space="preserve">mrr|P02</t>
  </si>
  <si>
    <t xml:space="preserve">P03 Logística Crastova, Lda</t>
  </si>
  <si>
    <t xml:space="preserve">mrr|P03</t>
  </si>
  <si>
    <t xml:space="preserve">P04 Conservas Galmira, S.L.</t>
  </si>
  <si>
    <t xml:space="preserve">mrr|P04</t>
  </si>
  <si>
    <t xml:space="preserve">ORIGINAL FY2026 BUDGET (APPROVED DEC-25, FICTIONAL)</t>
  </si>
  <si>
    <t xml:space="preserve">Twelve budget months built from the Dec-25 books. Revenue and cost lines and drivers are inputs as approved; totals are calculated. Never overwritten.</t>
  </si>
  <si>
    <t xml:space="preserve">Managed services: contracts live at 31-Dec-25 (excl. Traslovia)</t>
  </si>
  <si>
    <t xml:space="preserve">budget input</t>
  </si>
  <si>
    <t xml:space="preserve">Managed services: Traslovia Transportes (renewal assumed)</t>
  </si>
  <si>
    <t xml:space="preserve">Managed services: four new contracts (March, May, July, September)</t>
  </si>
  <si>
    <t xml:space="preserve">COST OF REVENUE (costs negative)</t>
  </si>
  <si>
    <t xml:space="preserve">Onerous project provision: movement</t>
  </si>
  <si>
    <t xml:space="preserve">DRIVERS, BALANCES AND HEADCOUNT</t>
  </si>
  <si>
    <t xml:space="preserve">budget</t>
  </si>
  <si>
    <t xml:space="preserve">Hardware purchases (cost of sales)</t>
  </si>
  <si>
    <t xml:space="preserve">Distributor rebate rate</t>
  </si>
  <si>
    <t xml:space="preserve">Hires</t>
  </si>
  <si>
    <t xml:space="preserve">budget balance</t>
  </si>
  <si>
    <t xml:space="preserve">USD per EUR (budget rate)</t>
  </si>
  <si>
    <t xml:space="preserve">Budget basis (Dec-25): every contract grows at its register rate and renews, including Traslovia Transportes in May; four new contracts of 90 users and 30 devices from March, May, July and September; SLA credits 0.4% of fees; hardware EUR 2.75m at a 13.3% margin with the tier 2 distributor rebate (2.5%); projects EUR 1.22m on the FY2025 profile; annual licences +5%; J01 at 1,900 own and 150 subcontract hours; six hires and no leavers; USD per EUR 1.15; Euribor 2.2%.</t>
  </si>
</sst>
</file>

<file path=xl/styles.xml><?xml version="1.0" encoding="utf-8"?>
<styleSheet xmlns="http://schemas.openxmlformats.org/spreadsheetml/2006/main">
  <numFmts count="18">
    <numFmt numFmtId="164" formatCode="General"/>
    <numFmt numFmtId="165" formatCode="mmm\-yy"/>
    <numFmt numFmtId="166" formatCode="@"/>
    <numFmt numFmtId="167" formatCode="#,##0;\(#,##0\);\-"/>
    <numFmt numFmtId="168" formatCode="0.0####"/>
    <numFmt numFmtId="169" formatCode="#,##0.00;\(#,##0.00\);\-"/>
    <numFmt numFmtId="170" formatCode="0.00\x"/>
    <numFmt numFmtId="171" formatCode="0.0%;\(0.0%\);\-"/>
    <numFmt numFmtId="172" formatCode="0.00%;\(0.00%\);\-"/>
    <numFmt numFmtId="173" formatCode="General"/>
    <numFmt numFmtId="174" formatCode="dd\-mmm\-yy"/>
    <numFmt numFmtId="175" formatCode="0"/>
    <numFmt numFmtId="176" formatCode="0.0;\(0.0\);\-"/>
    <numFmt numFmtId="177" formatCode="0%"/>
    <numFmt numFmtId="178" formatCode="0.0000"/>
    <numFmt numFmtId="179" formatCode="0.00"/>
    <numFmt numFmtId="180" formatCode="0.000"/>
    <numFmt numFmtId="181" formatCode="0.0"/>
  </numFmts>
  <fonts count="38">
    <font>
      <sz val="11"/>
      <color theme="1"/>
      <name val="Calibri"/>
      <family val="2"/>
      <charset val="1"/>
    </font>
    <font>
      <sz val="10"/>
      <name val="Arial"/>
      <family val="0"/>
    </font>
    <font>
      <sz val="10"/>
      <name val="Arial"/>
      <family val="0"/>
    </font>
    <font>
      <sz val="10"/>
      <name val="Arial"/>
      <family val="0"/>
    </font>
    <font>
      <b val="true"/>
      <sz val="20"/>
      <color rgb="FF032330"/>
      <name val="Arial"/>
      <family val="0"/>
      <charset val="1"/>
    </font>
    <font>
      <b val="true"/>
      <sz val="14"/>
      <color rgb="FF003B46"/>
      <name val="Arial"/>
      <family val="0"/>
      <charset val="1"/>
    </font>
    <font>
      <sz val="11"/>
      <color rgb="FF1A2B33"/>
      <name val="Arial"/>
      <family val="0"/>
      <charset val="1"/>
    </font>
    <font>
      <b val="true"/>
      <sz val="10"/>
      <color rgb="FF9C1C1C"/>
      <name val="Arial"/>
      <family val="0"/>
      <charset val="1"/>
    </font>
    <font>
      <b val="true"/>
      <sz val="10"/>
      <color rgb="FF032330"/>
      <name val="Arial"/>
      <family val="0"/>
      <charset val="1"/>
    </font>
    <font>
      <sz val="10"/>
      <color rgb="FF008000"/>
      <name val="Arial"/>
      <family val="0"/>
      <charset val="1"/>
    </font>
    <font>
      <sz val="10"/>
      <color rgb="FF1A2B33"/>
      <name val="Arial"/>
      <family val="0"/>
      <charset val="1"/>
    </font>
    <font>
      <b val="true"/>
      <sz val="10"/>
      <color rgb="FFFFFFFF"/>
      <name val="Arial"/>
      <family val="0"/>
      <charset val="1"/>
    </font>
    <font>
      <u val="single"/>
      <sz val="10"/>
      <color rgb="FF0563C1"/>
      <name val="Arial"/>
      <family val="0"/>
      <charset val="1"/>
    </font>
    <font>
      <sz val="9"/>
      <color rgb="FF1A2B33"/>
      <name val="Arial"/>
      <family val="0"/>
      <charset val="1"/>
    </font>
    <font>
      <sz val="9"/>
      <color rgb="FF5A6E77"/>
      <name val="Arial"/>
      <family val="0"/>
      <charset val="1"/>
    </font>
    <font>
      <sz val="10"/>
      <color rgb="FF0000FF"/>
      <name val="Arial"/>
      <family val="0"/>
      <charset val="1"/>
    </font>
    <font>
      <sz val="10"/>
      <color rgb="FF000000"/>
      <name val="Arial"/>
      <family val="0"/>
      <charset val="1"/>
    </font>
    <font>
      <sz val="10"/>
      <color rgb="FFFFFFFF"/>
      <name val="Arial"/>
      <family val="0"/>
      <charset val="1"/>
    </font>
    <font>
      <sz val="10"/>
      <color rgb="FF003B46"/>
      <name val="Arial"/>
      <family val="0"/>
      <charset val="1"/>
    </font>
    <font>
      <b val="true"/>
      <sz val="11"/>
      <color rgb="FF032330"/>
      <name val="Arial"/>
      <family val="0"/>
      <charset val="1"/>
    </font>
    <font>
      <b val="true"/>
      <sz val="14"/>
      <color rgb="FF032330"/>
      <name val="Arial"/>
      <family val="0"/>
      <charset val="1"/>
    </font>
    <font>
      <i val="true"/>
      <sz val="9"/>
      <color rgb="FF5A6E77"/>
      <name val="Arial"/>
      <family val="0"/>
      <charset val="1"/>
    </font>
    <font>
      <b val="true"/>
      <sz val="10"/>
      <color rgb="FF000000"/>
      <name val="Arial"/>
      <family val="0"/>
      <charset val="1"/>
    </font>
    <font>
      <b val="true"/>
      <sz val="12"/>
      <color rgb="FF032330"/>
      <name val="Arial"/>
      <family val="0"/>
      <charset val="1"/>
    </font>
    <font>
      <b val="true"/>
      <sz val="9"/>
      <color rgb="FF9C1C1C"/>
      <name val="Arial"/>
      <family val="0"/>
      <charset val="1"/>
    </font>
    <font>
      <b val="true"/>
      <sz val="11"/>
      <color rgb="FFFFFFFF"/>
      <name val="Arial"/>
      <family val="0"/>
      <charset val="1"/>
    </font>
    <font>
      <i val="true"/>
      <sz val="10"/>
      <color rgb="FF5A6E77"/>
      <name val="Arial"/>
      <family val="0"/>
      <charset val="1"/>
    </font>
    <font>
      <b val="true"/>
      <sz val="9"/>
      <color rgb="FF003B46"/>
      <name val="Arial"/>
      <family val="0"/>
      <charset val="1"/>
    </font>
    <font>
      <sz val="8"/>
      <color rgb="FF999999"/>
      <name val="Arial"/>
      <family val="0"/>
      <charset val="1"/>
    </font>
    <font>
      <i val="true"/>
      <sz val="8"/>
      <color rgb="FF5A6E77"/>
      <name val="Arial"/>
      <family val="0"/>
      <charset val="1"/>
    </font>
    <font>
      <b val="true"/>
      <sz val="10"/>
      <color rgb="FF008000"/>
      <name val="Arial"/>
      <family val="0"/>
      <charset val="1"/>
    </font>
    <font>
      <b val="true"/>
      <sz val="18"/>
      <color rgb="FF000000"/>
      <name val="Calibri"/>
      <family val="2"/>
    </font>
    <font>
      <sz val="10"/>
      <color rgb="FF000000"/>
      <name val="Calibri"/>
      <family val="2"/>
    </font>
    <font>
      <b val="true"/>
      <sz val="10"/>
      <color rgb="FF000000"/>
      <name val="Calibri"/>
      <family val="2"/>
    </font>
    <font>
      <sz val="10"/>
      <color rgb="FF032330"/>
      <name val="Arial"/>
      <family val="0"/>
      <charset val="1"/>
    </font>
    <font>
      <sz val="8"/>
      <color rgb="FF888888"/>
      <name val="Arial"/>
      <family val="0"/>
      <charset val="1"/>
    </font>
    <font>
      <b val="true"/>
      <sz val="10"/>
      <color rgb="FF003B46"/>
      <name val="Arial"/>
      <family val="0"/>
      <charset val="1"/>
    </font>
    <font>
      <sz val="8"/>
      <color rgb="FF5A6E77"/>
      <name val="Arial"/>
      <family val="0"/>
      <charset val="1"/>
    </font>
  </fonts>
  <fills count="9">
    <fill>
      <patternFill patternType="none"/>
    </fill>
    <fill>
      <patternFill patternType="gray125"/>
    </fill>
    <fill>
      <patternFill patternType="solid">
        <fgColor rgb="FF032330"/>
        <bgColor rgb="FF1A2B33"/>
      </patternFill>
    </fill>
    <fill>
      <patternFill patternType="solid">
        <fgColor rgb="FFFFF9E0"/>
        <bgColor rgb="FFF0F9E8"/>
      </patternFill>
    </fill>
    <fill>
      <patternFill patternType="solid">
        <fgColor rgb="FFF2F7F9"/>
        <bgColor rgb="FFF0F9E8"/>
      </patternFill>
    </fill>
    <fill>
      <patternFill patternType="solid">
        <fgColor rgb="FF003B46"/>
        <bgColor rgb="FF1A2B33"/>
      </patternFill>
    </fill>
    <fill>
      <patternFill patternType="solid">
        <fgColor rgb="FFF0F9E8"/>
        <bgColor rgb="FFF2F7F9"/>
      </patternFill>
    </fill>
    <fill>
      <patternFill patternType="solid">
        <fgColor rgb="FFEEEEEE"/>
        <bgColor rgb="FFF2F7F9"/>
      </patternFill>
    </fill>
    <fill>
      <patternFill patternType="solid">
        <fgColor rgb="FFFFFF00"/>
        <bgColor rgb="FFFFFF00"/>
      </patternFill>
    </fill>
  </fills>
  <borders count="3">
    <border diagonalUp="false" diagonalDown="false">
      <left/>
      <right/>
      <top/>
      <bottom/>
      <diagonal/>
    </border>
    <border diagonalUp="false" diagonalDown="false">
      <left/>
      <right/>
      <top style="thin">
        <color rgb="FFDDE6EA"/>
      </top>
      <bottom style="thin">
        <color rgb="FFDDE6EA"/>
      </bottom>
      <diagonal/>
    </border>
    <border diagonalUp="false" diagonalDown="false">
      <left/>
      <right/>
      <top style="thin">
        <color rgb="FFDDE6EA"/>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general" vertical="bottom" textRotation="0" wrapText="true" indent="0" shrinkToFit="false"/>
      <protection locked="true" hidden="false"/>
    </xf>
    <xf numFmtId="166" fontId="9" fillId="0" borderId="0" xfId="0" applyFont="true" applyBorder="false" applyAlignment="true" applyProtection="false">
      <alignment horizontal="general" vertical="bottom" textRotation="0" wrapText="true" indent="0" shrinkToFit="false"/>
      <protection locked="true" hidden="false"/>
    </xf>
    <xf numFmtId="166" fontId="10" fillId="0" borderId="0" xfId="0" applyFont="true" applyBorder="false" applyAlignment="true" applyProtection="false">
      <alignment horizontal="general" vertical="bottom" textRotation="0" wrapText="true" indent="0" shrinkToFit="false"/>
      <protection locked="true" hidden="false"/>
    </xf>
    <xf numFmtId="167" fontId="9" fillId="0" borderId="0" xfId="0" applyFont="true" applyBorder="false" applyAlignment="true" applyProtection="false">
      <alignment horizontal="general" vertical="bottom" textRotation="0" wrapText="tru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7" fillId="2" borderId="0" xfId="0" applyFont="true" applyBorder="false" applyAlignment="false" applyProtection="false">
      <alignment horizontal="general" vertical="bottom" textRotation="0" wrapText="false" indent="0" shrinkToFit="false"/>
      <protection locked="true" hidden="false"/>
    </xf>
    <xf numFmtId="164" fontId="18" fillId="4"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center" textRotation="0" wrapText="true" indent="0" shrinkToFit="false"/>
      <protection locked="true" hidden="false"/>
    </xf>
    <xf numFmtId="164" fontId="11" fillId="2" borderId="0" xfId="0" applyFont="true" applyBorder="false" applyAlignment="true" applyProtection="false">
      <alignment horizontal="center"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center"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4" fontId="23" fillId="6" borderId="1" xfId="0" applyFont="tru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23" fillId="6" borderId="1" xfId="0" applyFont="true" applyBorder="true" applyAlignment="true" applyProtection="false">
      <alignment horizontal="center" vertical="bottom" textRotation="0" wrapText="false" indent="0" shrinkToFit="false"/>
      <protection locked="true" hidden="false"/>
    </xf>
    <xf numFmtId="167" fontId="22" fillId="0" borderId="0" xfId="0" applyFont="true" applyBorder="false" applyAlignment="false" applyProtection="false">
      <alignment horizontal="general" vertical="bottom" textRotation="0" wrapText="false" indent="0" shrinkToFit="false"/>
      <protection locked="true" hidden="false"/>
    </xf>
    <xf numFmtId="170" fontId="22" fillId="0" borderId="0" xfId="0" applyFont="true" applyBorder="false" applyAlignment="false" applyProtection="false">
      <alignment horizontal="general" vertical="bottom" textRotation="0" wrapText="false" indent="0" shrinkToFit="false"/>
      <protection locked="true" hidden="false"/>
    </xf>
    <xf numFmtId="171" fontId="22" fillId="0" borderId="0" xfId="0" applyFont="true" applyBorder="false" applyAlignment="false" applyProtection="false">
      <alignment horizontal="general" vertical="bottom" textRotation="0" wrapText="false" indent="0" shrinkToFit="false"/>
      <protection locked="true" hidden="false"/>
    </xf>
    <xf numFmtId="172" fontId="22" fillId="0"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5" borderId="0" xfId="0" applyFont="true" applyBorder="false" applyAlignment="true" applyProtection="false">
      <alignment horizontal="left" vertical="center" textRotation="0" wrapText="true" indent="0" shrinkToFit="false"/>
      <protection locked="true" hidden="false"/>
    </xf>
    <xf numFmtId="164" fontId="11" fillId="5" borderId="0" xfId="0" applyFont="tru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top" textRotation="0" wrapText="false" indent="0" shrinkToFit="false"/>
      <protection locked="true" hidden="false"/>
    </xf>
    <xf numFmtId="173" fontId="22" fillId="0" borderId="0" xfId="0" applyFont="true" applyBorder="false" applyAlignment="true" applyProtection="false">
      <alignment horizontal="center" vertical="top"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74" fontId="0" fillId="0" borderId="0" xfId="0" applyFont="false" applyBorder="false" applyAlignment="true" applyProtection="false">
      <alignment horizontal="center" vertical="top" textRotation="0" wrapText="false" indent="0" shrinkToFit="false"/>
      <protection locked="true" hidden="false"/>
    </xf>
    <xf numFmtId="164" fontId="26" fillId="0" borderId="0" xfId="0" applyFont="true" applyBorder="false" applyAlignment="true" applyProtection="false">
      <alignment horizontal="general" vertical="top" textRotation="0" wrapText="tru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bottom" textRotation="0" wrapText="false" indent="0" shrinkToFit="false"/>
      <protection locked="true" hidden="false"/>
    </xf>
    <xf numFmtId="164" fontId="11" fillId="2" borderId="0" xfId="0" applyFont="true" applyBorder="false" applyAlignment="true" applyProtection="false">
      <alignment horizontal="center" vertical="bottom" textRotation="0" wrapText="false" indent="0" shrinkToFit="false"/>
      <protection locked="true" hidden="false"/>
    </xf>
    <xf numFmtId="165" fontId="11" fillId="2" borderId="0" xfId="0" applyFont="true" applyBorder="false" applyAlignment="true" applyProtection="false">
      <alignment horizontal="center" vertical="bottom" textRotation="0" wrapText="false" indent="0" shrinkToFit="false"/>
      <protection locked="true" hidden="false"/>
    </xf>
    <xf numFmtId="164" fontId="2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27" fillId="4" borderId="0" xfId="0" applyFont="true" applyBorder="false" applyAlignment="true" applyProtection="false">
      <alignment horizontal="center" vertical="bottom"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75" fontId="28" fillId="0" borderId="0" xfId="0" applyFont="true" applyBorder="false" applyAlignment="true" applyProtection="false">
      <alignment horizontal="center"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29" fillId="0" borderId="2" xfId="0" applyFont="true" applyBorder="true" applyAlignment="false" applyProtection="false">
      <alignment horizontal="general" vertical="bottom" textRotation="0" wrapText="false" indent="0" shrinkToFit="false"/>
      <protection locked="true" hidden="false"/>
    </xf>
    <xf numFmtId="167" fontId="22" fillId="4" borderId="2" xfId="0" applyFont="true" applyBorder="true" applyAlignment="false" applyProtection="false">
      <alignment horizontal="general" vertical="bottom" textRotation="0" wrapText="false" indent="0" shrinkToFit="false"/>
      <protection locked="true" hidden="false"/>
    </xf>
    <xf numFmtId="167" fontId="30" fillId="4" borderId="2" xfId="0" applyFont="true" applyBorder="true" applyAlignment="false" applyProtection="false">
      <alignment horizontal="general"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71" fontId="22" fillId="6" borderId="0" xfId="0" applyFont="true" applyBorder="false" applyAlignment="false" applyProtection="false">
      <alignment horizontal="general" vertical="bottom" textRotation="0" wrapText="false" indent="0" shrinkToFit="false"/>
      <protection locked="true" hidden="false"/>
    </xf>
    <xf numFmtId="167" fontId="22" fillId="6"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75" fontId="22" fillId="6" borderId="0" xfId="0" applyFont="true" applyBorder="false" applyAlignment="false" applyProtection="false">
      <alignment horizontal="general" vertical="bottom" textRotation="0" wrapText="false" indent="0" shrinkToFit="false"/>
      <protection locked="true" hidden="false"/>
    </xf>
    <xf numFmtId="175" fontId="9" fillId="0" borderId="0" xfId="0" applyFont="true" applyBorder="false" applyAlignment="false" applyProtection="false">
      <alignment horizontal="general" vertical="bottom" textRotation="0" wrapText="false" indent="0" shrinkToFit="false"/>
      <protection locked="true" hidden="false"/>
    </xf>
    <xf numFmtId="169" fontId="22" fillId="6"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72" fontId="22" fillId="6" borderId="0" xfId="0" applyFont="tru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76" fontId="22" fillId="6" borderId="0" xfId="0" applyFont="true" applyBorder="false" applyAlignment="false" applyProtection="false">
      <alignment horizontal="general" vertical="bottom" textRotation="0" wrapText="false" indent="0" shrinkToFit="false"/>
      <protection locked="true" hidden="false"/>
    </xf>
    <xf numFmtId="176" fontId="9" fillId="0" borderId="0" xfId="0" applyFont="true" applyBorder="fals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70" fontId="22" fillId="6"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71" fontId="16" fillId="0" borderId="0" xfId="0" applyFont="true" applyBorder="false" applyAlignment="false" applyProtection="false">
      <alignment horizontal="general" vertical="bottom" textRotation="0" wrapText="false" indent="0" shrinkToFit="false"/>
      <protection locked="true" hidden="false"/>
    </xf>
    <xf numFmtId="164" fontId="8" fillId="4" borderId="2" xfId="0" applyFont="true" applyBorder="true" applyAlignment="false" applyProtection="false">
      <alignment horizontal="general" vertical="bottom" textRotation="0" wrapText="false" indent="0" shrinkToFit="false"/>
      <protection locked="true" hidden="false"/>
    </xf>
    <xf numFmtId="171" fontId="22" fillId="4" borderId="2" xfId="0" applyFont="true" applyBorder="true" applyAlignment="false" applyProtection="false">
      <alignment horizontal="general" vertical="bottom" textRotation="0" wrapText="false" indent="0" shrinkToFit="false"/>
      <protection locked="true" hidden="false"/>
    </xf>
    <xf numFmtId="164" fontId="13" fillId="4" borderId="2" xfId="0" applyFont="true" applyBorder="true" applyAlignment="true" applyProtection="false">
      <alignment horizontal="general" vertical="top" textRotation="0" wrapText="true" indent="0" shrinkToFit="false"/>
      <protection locked="true" hidden="false"/>
    </xf>
    <xf numFmtId="164" fontId="0" fillId="4" borderId="2" xfId="0" applyFont="false" applyBorder="true" applyAlignment="false" applyProtection="false">
      <alignment horizontal="general" vertical="bottom" textRotation="0" wrapText="false" indent="0" shrinkToFit="false"/>
      <protection locked="true" hidden="false"/>
    </xf>
    <xf numFmtId="175" fontId="16" fillId="0" borderId="0" xfId="0" applyFont="true" applyBorder="false" applyAlignment="false" applyProtection="false">
      <alignment horizontal="general" vertical="bottom" textRotation="0" wrapText="false" indent="0" shrinkToFit="false"/>
      <protection locked="true" hidden="false"/>
    </xf>
    <xf numFmtId="172" fontId="16" fillId="0" borderId="0" xfId="0" applyFont="true" applyBorder="false" applyAlignment="false" applyProtection="false">
      <alignment horizontal="general" vertical="bottom" textRotation="0" wrapText="false" indent="0" shrinkToFit="false"/>
      <protection locked="true" hidden="false"/>
    </xf>
    <xf numFmtId="176" fontId="16"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7" fontId="22" fillId="4"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general" vertical="top" textRotation="0" wrapText="true" indent="0" shrinkToFit="false"/>
      <protection locked="true" hidden="false"/>
    </xf>
    <xf numFmtId="164" fontId="34" fillId="0" borderId="0" xfId="0" applyFont="true" applyBorder="false" applyAlignment="false" applyProtection="false">
      <alignment horizontal="general" vertical="bottom" textRotation="0" wrapText="false" indent="0" shrinkToFit="false"/>
      <protection locked="true" hidden="false"/>
    </xf>
    <xf numFmtId="164" fontId="30" fillId="0" borderId="0" xfId="0" applyFont="true" applyBorder="false" applyAlignment="false" applyProtection="false">
      <alignment horizontal="general" vertical="bottom" textRotation="0" wrapText="false" indent="0" shrinkToFit="false"/>
      <protection locked="true" hidden="false"/>
    </xf>
    <xf numFmtId="167" fontId="0" fillId="7" borderId="0" xfId="0" applyFont="false" applyBorder="false" applyAlignment="false" applyProtection="false">
      <alignment horizontal="general" vertical="bottom" textRotation="0" wrapText="false" indent="0" shrinkToFit="false"/>
      <protection locked="true" hidden="false"/>
    </xf>
    <xf numFmtId="167" fontId="30" fillId="0" borderId="0" xfId="0" applyFont="true" applyBorder="false" applyAlignment="false" applyProtection="false">
      <alignment horizontal="general" vertical="bottom" textRotation="0" wrapText="false" indent="0" shrinkToFit="false"/>
      <protection locked="true" hidden="false"/>
    </xf>
    <xf numFmtId="171" fontId="0" fillId="7" borderId="0" xfId="0" applyFont="false" applyBorder="false" applyAlignment="false" applyProtection="false">
      <alignment horizontal="general" vertical="bottom" textRotation="0" wrapText="false" indent="0" shrinkToFit="false"/>
      <protection locked="true" hidden="false"/>
    </xf>
    <xf numFmtId="171" fontId="30" fillId="0" borderId="0" xfId="0" applyFont="true" applyBorder="false" applyAlignment="false" applyProtection="false">
      <alignment horizontal="general" vertical="bottom" textRotation="0" wrapText="false" indent="0" shrinkToFit="false"/>
      <protection locked="true" hidden="false"/>
    </xf>
    <xf numFmtId="178" fontId="0" fillId="0" borderId="0" xfId="0" applyFont="false" applyBorder="false" applyAlignment="false" applyProtection="false">
      <alignment horizontal="general" vertical="bottom" textRotation="0" wrapText="false" indent="0" shrinkToFit="false"/>
      <protection locked="true" hidden="false"/>
    </xf>
    <xf numFmtId="165" fontId="0" fillId="7" borderId="0" xfId="0" applyFont="false" applyBorder="false" applyAlignment="false" applyProtection="false">
      <alignment horizontal="general" vertical="bottom" textRotation="0" wrapText="false" indent="0" shrinkToFit="false"/>
      <protection locked="true" hidden="false"/>
    </xf>
    <xf numFmtId="165" fontId="30" fillId="0" borderId="0" xfId="0" applyFont="true" applyBorder="false" applyAlignment="false" applyProtection="false">
      <alignment horizontal="general" vertical="bottom" textRotation="0" wrapText="false" indent="0" shrinkToFit="false"/>
      <protection locked="true" hidden="false"/>
    </xf>
    <xf numFmtId="170" fontId="0" fillId="7" borderId="0" xfId="0" applyFont="false" applyBorder="false" applyAlignment="false" applyProtection="false">
      <alignment horizontal="general" vertical="bottom" textRotation="0" wrapText="false" indent="0" shrinkToFit="false"/>
      <protection locked="true" hidden="false"/>
    </xf>
    <xf numFmtId="170" fontId="30" fillId="0" borderId="0" xfId="0" applyFont="true" applyBorder="false" applyAlignment="false" applyProtection="false">
      <alignment horizontal="general" vertical="bottom" textRotation="0" wrapText="false" indent="0" shrinkToFit="false"/>
      <protection locked="true" hidden="false"/>
    </xf>
    <xf numFmtId="176" fontId="0" fillId="7" borderId="0" xfId="0" applyFont="false" applyBorder="false" applyAlignment="false" applyProtection="false">
      <alignment horizontal="general" vertical="bottom" textRotation="0" wrapText="false" indent="0" shrinkToFit="false"/>
      <protection locked="true" hidden="false"/>
    </xf>
    <xf numFmtId="176" fontId="30" fillId="0" borderId="0" xfId="0" applyFont="true" applyBorder="false" applyAlignment="false" applyProtection="false">
      <alignment horizontal="general" vertical="bottom" textRotation="0" wrapText="false" indent="0" shrinkToFit="false"/>
      <protection locked="true" hidden="false"/>
    </xf>
    <xf numFmtId="179" fontId="9" fillId="0" borderId="0" xfId="0" applyFont="true" applyBorder="false" applyAlignment="false" applyProtection="false">
      <alignment horizontal="general" vertical="bottom" textRotation="0" wrapText="false" indent="0" shrinkToFit="false"/>
      <protection locked="true" hidden="false"/>
    </xf>
    <xf numFmtId="179" fontId="30" fillId="0" borderId="0" xfId="0" applyFont="true" applyBorder="false" applyAlignment="false" applyProtection="false">
      <alignment horizontal="general" vertical="bottom" textRotation="0" wrapText="false" indent="0" shrinkToFit="false"/>
      <protection locked="true" hidden="false"/>
    </xf>
    <xf numFmtId="175" fontId="30" fillId="0" borderId="0" xfId="0" applyFont="true" applyBorder="false" applyAlignment="false" applyProtection="false">
      <alignment horizontal="general" vertical="bottom" textRotation="0" wrapText="false" indent="0" shrinkToFit="false"/>
      <protection locked="true" hidden="false"/>
    </xf>
    <xf numFmtId="172" fontId="30" fillId="0" borderId="0" xfId="0" applyFont="true" applyBorder="false" applyAlignment="false" applyProtection="false">
      <alignment horizontal="general" vertical="bottom" textRotation="0" wrapText="false" indent="0" shrinkToFit="false"/>
      <protection locked="true" hidden="false"/>
    </xf>
    <xf numFmtId="178" fontId="9" fillId="0" borderId="0" xfId="0" applyFont="true" applyBorder="false" applyAlignment="false" applyProtection="false">
      <alignment horizontal="general" vertical="bottom" textRotation="0" wrapText="false" indent="0" shrinkToFit="false"/>
      <protection locked="true" hidden="false"/>
    </xf>
    <xf numFmtId="178" fontId="30"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74" fontId="15" fillId="0" borderId="0" xfId="0" applyFont="true" applyBorder="false" applyAlignment="false" applyProtection="false">
      <alignment horizontal="general" vertical="bottom" textRotation="0" wrapText="false" indent="0" shrinkToFit="false"/>
      <protection locked="true" hidden="false"/>
    </xf>
    <xf numFmtId="174" fontId="16" fillId="0" borderId="0" xfId="0" applyFont="tru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80" fontId="35" fillId="0" borderId="0" xfId="0" applyFont="true" applyBorder="false" applyAlignment="false" applyProtection="false">
      <alignment horizontal="general" vertical="bottom" textRotation="0" wrapText="false" indent="0" shrinkToFit="false"/>
      <protection locked="true" hidden="false"/>
    </xf>
    <xf numFmtId="167" fontId="15" fillId="3" borderId="0" xfId="0" applyFont="true" applyBorder="false" applyAlignment="false" applyProtection="false">
      <alignment horizontal="general" vertical="bottom" textRotation="0" wrapText="false" indent="0" shrinkToFit="false"/>
      <protection locked="true" hidden="false"/>
    </xf>
    <xf numFmtId="180" fontId="0" fillId="0" borderId="0" xfId="0" applyFont="false" applyBorder="false" applyAlignment="false" applyProtection="false">
      <alignment horizontal="general" vertical="bottom" textRotation="0" wrapText="false" indent="0" shrinkToFit="false"/>
      <protection locked="true" hidden="false"/>
    </xf>
    <xf numFmtId="164" fontId="29" fillId="4" borderId="2" xfId="0" applyFont="true" applyBorder="true" applyAlignment="false" applyProtection="false">
      <alignment horizontal="general" vertical="bottom" textRotation="0" wrapText="false" indent="0" shrinkToFit="false"/>
      <protection locked="true" hidden="false"/>
    </xf>
    <xf numFmtId="167" fontId="0" fillId="4" borderId="2" xfId="0" applyFont="false" applyBorder="true" applyAlignment="false" applyProtection="false">
      <alignment horizontal="general" vertical="bottom" textRotation="0" wrapText="false" indent="0" shrinkToFit="false"/>
      <protection locked="true" hidden="false"/>
    </xf>
    <xf numFmtId="167" fontId="9" fillId="4" borderId="2" xfId="0" applyFont="true" applyBorder="true" applyAlignment="false" applyProtection="false">
      <alignment horizontal="general" vertical="bottom" textRotation="0" wrapText="false" indent="0" shrinkToFit="false"/>
      <protection locked="true" hidden="false"/>
    </xf>
    <xf numFmtId="174" fontId="22" fillId="0" borderId="0" xfId="0" applyFont="true" applyBorder="false" applyAlignment="false" applyProtection="false">
      <alignment horizontal="general" vertical="bottom" textRotation="0" wrapText="false" indent="0" shrinkToFit="false"/>
      <protection locked="true" hidden="false"/>
    </xf>
    <xf numFmtId="178" fontId="22" fillId="6" borderId="0" xfId="0" applyFont="true" applyBorder="false" applyAlignment="false" applyProtection="false">
      <alignment horizontal="general" vertical="bottom" textRotation="0" wrapText="false" indent="0" shrinkToFit="false"/>
      <protection locked="true" hidden="false"/>
    </xf>
    <xf numFmtId="169" fontId="16" fillId="0" borderId="0" xfId="0" applyFont="true" applyBorder="false" applyAlignment="false" applyProtection="false">
      <alignment horizontal="general" vertical="bottom" textRotation="0" wrapText="false" indent="0" shrinkToFit="false"/>
      <protection locked="true" hidden="false"/>
    </xf>
    <xf numFmtId="176" fontId="22" fillId="4" borderId="2" xfId="0" applyFont="true" applyBorder="true" applyAlignment="false" applyProtection="false">
      <alignment horizontal="general" vertical="bottom" textRotation="0" wrapText="false" indent="0" shrinkToFit="false"/>
      <protection locked="true" hidden="false"/>
    </xf>
    <xf numFmtId="174" fontId="30" fillId="0" borderId="0" xfId="0" applyFont="true" applyBorder="false" applyAlignment="false" applyProtection="false">
      <alignment horizontal="general" vertical="bottom" textRotation="0" wrapText="false" indent="0" shrinkToFit="false"/>
      <protection locked="true" hidden="false"/>
    </xf>
    <xf numFmtId="174" fontId="15" fillId="3" borderId="0" xfId="0" applyFont="true" applyBorder="false" applyAlignment="false" applyProtection="false">
      <alignment horizontal="general" vertical="bottom" textRotation="0" wrapText="false" indent="0" shrinkToFit="false"/>
      <protection locked="true" hidden="false"/>
    </xf>
    <xf numFmtId="175"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7" fontId="36" fillId="6" borderId="0" xfId="0" applyFont="true" applyBorder="false" applyAlignment="false" applyProtection="false">
      <alignment horizontal="general" vertical="bottom" textRotation="0" wrapText="false" indent="0" shrinkToFit="false"/>
      <protection locked="true" hidden="false"/>
    </xf>
    <xf numFmtId="170" fontId="16" fillId="0" borderId="0" xfId="0" applyFont="true" applyBorder="false" applyAlignment="false" applyProtection="false">
      <alignment horizontal="general" vertical="bottom" textRotation="0" wrapText="false" indent="0" shrinkToFit="false"/>
      <protection locked="true" hidden="false"/>
    </xf>
    <xf numFmtId="170" fontId="36" fillId="6" borderId="0" xfId="0" applyFont="true" applyBorder="false" applyAlignment="false" applyProtection="false">
      <alignment horizontal="general" vertical="bottom" textRotation="0" wrapText="false" indent="0" shrinkToFit="false"/>
      <protection locked="true" hidden="false"/>
    </xf>
    <xf numFmtId="166" fontId="15" fillId="3" borderId="0" xfId="0" applyFont="true" applyBorder="false" applyAlignment="false" applyProtection="false">
      <alignment horizontal="general" vertical="bottom" textRotation="0" wrapText="false" indent="0" shrinkToFit="false"/>
      <protection locked="true" hidden="false"/>
    </xf>
    <xf numFmtId="165" fontId="15" fillId="3" borderId="0" xfId="0" applyFont="true" applyBorder="false" applyAlignment="false" applyProtection="false">
      <alignment horizontal="general" vertical="bottom" textRotation="0" wrapText="false" indent="0" shrinkToFit="false"/>
      <protection locked="true" hidden="false"/>
    </xf>
    <xf numFmtId="169" fontId="15" fillId="3" borderId="0" xfId="0" applyFont="true" applyBorder="false" applyAlignment="false" applyProtection="false">
      <alignment horizontal="general" vertical="bottom" textRotation="0" wrapText="false" indent="0" shrinkToFit="false"/>
      <protection locked="true" hidden="false"/>
    </xf>
    <xf numFmtId="172" fontId="15" fillId="3" borderId="0" xfId="0" applyFont="true" applyBorder="false" applyAlignment="false" applyProtection="false">
      <alignment horizontal="general" vertical="bottom" textRotation="0" wrapText="false" indent="0" shrinkToFit="false"/>
      <protection locked="true" hidden="false"/>
    </xf>
    <xf numFmtId="175" fontId="15" fillId="3" borderId="0" xfId="0" applyFont="true" applyBorder="false" applyAlignment="false" applyProtection="false">
      <alignment horizontal="general" vertical="bottom" textRotation="0" wrapText="false" indent="0" shrinkToFit="false"/>
      <protection locked="true" hidden="false"/>
    </xf>
    <xf numFmtId="171" fontId="15" fillId="3" borderId="0" xfId="0" applyFont="true" applyBorder="false" applyAlignment="false" applyProtection="false">
      <alignment horizontal="general" vertical="bottom" textRotation="0" wrapText="false" indent="0" shrinkToFit="false"/>
      <protection locked="tru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65" fontId="16" fillId="0" borderId="0" xfId="0" applyFont="true" applyBorder="false" applyAlignment="false" applyProtection="false">
      <alignment horizontal="general" vertical="bottom" textRotation="0" wrapText="false" indent="0" shrinkToFit="false"/>
      <protection locked="true" hidden="false"/>
    </xf>
    <xf numFmtId="166" fontId="15" fillId="3" borderId="0" xfId="0" applyFont="true" applyBorder="false" applyAlignment="true" applyProtection="false">
      <alignment horizontal="general" vertical="top" textRotation="0" wrapText="true" indent="0" shrinkToFit="false"/>
      <protection locked="true" hidden="false"/>
    </xf>
    <xf numFmtId="171" fontId="22" fillId="4" borderId="0" xfId="0" applyFont="true" applyBorder="false" applyAlignment="false" applyProtection="false">
      <alignment horizontal="general" vertical="bottom" textRotation="0" wrapText="false" indent="0" shrinkToFit="false"/>
      <protection locked="true" hidden="false"/>
    </xf>
    <xf numFmtId="175" fontId="15" fillId="8" borderId="0" xfId="0" applyFont="true" applyBorder="false" applyAlignment="false" applyProtection="false">
      <alignment horizontal="general" vertical="bottom" textRotation="0" wrapText="false" indent="0" shrinkToFit="false"/>
      <protection locked="true" hidden="false"/>
    </xf>
    <xf numFmtId="166" fontId="22" fillId="0" borderId="0" xfId="0" applyFont="true" applyBorder="false" applyAlignment="false" applyProtection="false">
      <alignment horizontal="general" vertical="bottom" textRotation="0" wrapText="false" indent="0" shrinkToFit="false"/>
      <protection locked="true" hidden="false"/>
    </xf>
    <xf numFmtId="181" fontId="15" fillId="3" borderId="0" xfId="0" applyFont="tru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64" fontId="37" fillId="0" borderId="0" xfId="0" applyFont="true" applyBorder="false" applyAlignment="false" applyProtection="false">
      <alignment horizontal="general" vertical="bottom" textRotation="0" wrapText="false" indent="0" shrinkToFit="false"/>
      <protection locked="true" hidden="false"/>
    </xf>
    <xf numFmtId="179" fontId="15" fillId="3" borderId="0" xfId="0" applyFont="true" applyBorder="false" applyAlignment="false" applyProtection="false">
      <alignment horizontal="general" vertical="bottom" textRotation="0" wrapText="false" indent="0" shrinkToFit="false"/>
      <protection locked="true" hidden="false"/>
    </xf>
    <xf numFmtId="180" fontId="22" fillId="0" borderId="0" xfId="0" applyFont="true" applyBorder="false" applyAlignment="false" applyProtection="false">
      <alignment horizontal="general" vertical="bottom" textRotation="0" wrapText="false" indent="0" shrinkToFit="false"/>
      <protection locked="true" hidden="false"/>
    </xf>
    <xf numFmtId="170" fontId="15" fillId="3" borderId="0" xfId="0" applyFont="true" applyBorder="false" applyAlignment="false" applyProtection="false">
      <alignment horizontal="general" vertical="bottom" textRotation="0" wrapText="false" indent="0" shrinkToFit="false"/>
      <protection locked="true" hidden="false"/>
    </xf>
    <xf numFmtId="179" fontId="22" fillId="6" borderId="0" xfId="0" applyFont="true" applyBorder="false" applyAlignment="false" applyProtection="false">
      <alignment horizontal="general" vertical="bottom" textRotation="0" wrapText="false" indent="0" shrinkToFit="false"/>
      <protection locked="true" hidden="false"/>
    </xf>
    <xf numFmtId="178" fontId="15" fillId="3" borderId="0" xfId="0" applyFont="true" applyBorder="false" applyAlignment="false" applyProtection="false">
      <alignment horizontal="general" vertical="bottom" textRotation="0" wrapText="false" indent="0" shrinkToFit="false"/>
      <protection locked="true" hidden="false"/>
    </xf>
    <xf numFmtId="165" fontId="22" fillId="6"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75"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80" fontId="0" fillId="0" borderId="0" xfId="0" applyFont="false" applyBorder="false" applyAlignment="true" applyProtection="false">
      <alignment horizontal="center" vertical="bottom" textRotation="0" wrapText="false" indent="0" shrinkToFit="false"/>
      <protection locked="true" hidden="false"/>
    </xf>
    <xf numFmtId="179" fontId="15" fillId="3" borderId="0" xfId="0" applyFont="true" applyBorder="false" applyAlignment="true" applyProtection="false">
      <alignment horizontal="center" vertical="bottom" textRotation="0" wrapText="false" indent="0" shrinkToFit="false"/>
      <protection locked="true" hidden="false"/>
    </xf>
    <xf numFmtId="179" fontId="0" fillId="0" borderId="0" xfId="0" applyFont="false" applyBorder="false" applyAlignment="true" applyProtection="false">
      <alignment horizontal="center" vertical="bottom" textRotation="0" wrapText="false" indent="0" shrinkToFit="false"/>
      <protection locked="true" hidden="false"/>
    </xf>
    <xf numFmtId="171" fontId="15" fillId="3" borderId="0" xfId="0" applyFont="true" applyBorder="false" applyAlignment="true" applyProtection="false">
      <alignment horizontal="center" vertical="bottom" textRotation="0" wrapText="false" indent="0" shrinkToFit="false"/>
      <protection locked="true" hidden="false"/>
    </xf>
    <xf numFmtId="171" fontId="0" fillId="0" borderId="0" xfId="0" applyFont="false" applyBorder="false" applyAlignment="true" applyProtection="false">
      <alignment horizontal="center" vertical="bottom" textRotation="0" wrapText="false" indent="0" shrinkToFit="false"/>
      <protection locked="true" hidden="false"/>
    </xf>
    <xf numFmtId="178" fontId="15" fillId="3" borderId="0" xfId="0" applyFont="true" applyBorder="false" applyAlignment="true" applyProtection="false">
      <alignment horizontal="center" vertical="bottom" textRotation="0" wrapText="false" indent="0" shrinkToFit="false"/>
      <protection locked="true" hidden="false"/>
    </xf>
    <xf numFmtId="178" fontId="0" fillId="0" borderId="0" xfId="0" applyFont="false" applyBorder="false" applyAlignment="true" applyProtection="false">
      <alignment horizontal="center" vertical="bottom" textRotation="0" wrapText="false" indent="0" shrinkToFit="false"/>
      <protection locked="true" hidden="false"/>
    </xf>
    <xf numFmtId="172" fontId="15" fillId="3" borderId="0" xfId="0" applyFont="true" applyBorder="false" applyAlignment="true" applyProtection="false">
      <alignment horizontal="center" vertical="bottom" textRotation="0" wrapText="false" indent="0" shrinkToFit="false"/>
      <protection locked="true" hidden="false"/>
    </xf>
    <xf numFmtId="172" fontId="0" fillId="0" borderId="0" xfId="0" applyFont="false" applyBorder="false" applyAlignment="true" applyProtection="false">
      <alignment horizontal="center" vertical="bottom" textRotation="0" wrapText="false" indent="0" shrinkToFit="false"/>
      <protection locked="true" hidden="false"/>
    </xf>
    <xf numFmtId="169" fontId="0" fillId="0" borderId="0" xfId="0" applyFont="false" applyBorder="false" applyAlignment="true" applyProtection="false">
      <alignment horizontal="center" vertical="bottom" textRotation="0" wrapText="false" indent="0" shrinkToFit="false"/>
      <protection locked="true" hidden="false"/>
    </xf>
    <xf numFmtId="176" fontId="15" fillId="3"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5A6E77"/>
      <rgbColor rgb="FF800080"/>
      <rgbColor rgb="FF008080"/>
      <rgbColor rgb="FF9BBB59"/>
      <rgbColor rgb="FF878787"/>
      <rgbColor rgb="FF888888"/>
      <rgbColor rgb="FFBE4B48"/>
      <rgbColor rgb="FFFFF9E0"/>
      <rgbColor rgb="FFF0F9E8"/>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F2F7F9"/>
      <rgbColor rgb="FFDDE6EA"/>
      <rgbColor rgb="FFEEEEEE"/>
      <rgbColor rgb="FF99CCFF"/>
      <rgbColor rgb="FFFF99CC"/>
      <rgbColor rgb="FFCC99FF"/>
      <rgbColor rgb="FFFFCC99"/>
      <rgbColor rgb="FF4A7EBB"/>
      <rgbColor rgb="FF33CCCC"/>
      <rgbColor rgb="FF98B855"/>
      <rgbColor rgb="FFFFCC00"/>
      <rgbColor rgb="FFFF9900"/>
      <rgbColor rgb="FFFF6600"/>
      <rgbColor rgb="FF7D5FA0"/>
      <rgbColor rgb="FF999999"/>
      <rgbColor rgb="FF003B46"/>
      <rgbColor rgb="FF4F81BD"/>
      <rgbColor rgb="FF032330"/>
      <rgbColor rgb="FF333300"/>
      <rgbColor rgb="FF9C1C1C"/>
      <rgbColor rgb="FFC0504D"/>
      <rgbColor rgb="FF8064A2"/>
      <rgbColor rgb="FF1A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worksheet" Target="worksheets/sheet29.xml"/><Relationship Id="rId32" Type="http://schemas.openxmlformats.org/officeDocument/2006/relationships/worksheet" Target="worksheets/sheet30.xml"/><Relationship Id="rId33" Type="http://schemas.openxmlformats.org/officeDocument/2006/relationships/worksheet" Target="worksheets/sheet31.xml"/><Relationship Id="rId34" Type="http://schemas.openxmlformats.org/officeDocument/2006/relationships/worksheet" Target="worksheets/sheet32.xml"/><Relationship Id="rId35" Type="http://schemas.openxmlformats.org/officeDocument/2006/relationships/worksheet" Target="worksheets/sheet33.xml"/><Relationship Id="rId36" Type="http://schemas.openxmlformats.org/officeDocument/2006/relationships/worksheet" Target="worksheets/sheet34.xml"/><Relationship Id="rId37" Type="http://schemas.openxmlformats.org/officeDocument/2006/relationships/worksheet" Target="worksheets/sheet35.xml"/><Relationship Id="rId3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Revenue by service line (EUR)</a:t>
            </a:r>
          </a:p>
        </c:rich>
      </c:tx>
      <c:overlay val="0"/>
      <c:spPr>
        <a:noFill/>
        <a:ln w="0">
          <a:noFill/>
        </a:ln>
      </c:spPr>
    </c:title>
    <c:autoTitleDeleted val="0"/>
    <c:plotArea>
      <c:barChart>
        <c:barDir val="col"/>
        <c:grouping val="stacked"/>
        <c:varyColors val="0"/>
        <c:ser>
          <c:idx val="0"/>
          <c:order val="0"/>
          <c:tx>
            <c:strRef>
              <c:f>"Managed services"</c:f>
              <c:strCache>
                <c:ptCount val="1"/>
                <c:pt idx="0">
                  <c:v>Managed services</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Assumptions!$E$200:$AB$200</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PL!$E$57:$AB$57</c:f>
              <c:numCache>
                <c:formatCode>#,##0;\(#,##0\);\-</c:formatCode>
                <c:ptCount val="24"/>
                <c:pt idx="0">
                  <c:v>288374.83</c:v>
                </c:pt>
                <c:pt idx="1">
                  <c:v>289887.79</c:v>
                </c:pt>
                <c:pt idx="2">
                  <c:v>294708.93</c:v>
                </c:pt>
                <c:pt idx="3">
                  <c:v>294421.49</c:v>
                </c:pt>
                <c:pt idx="4">
                  <c:v>289342.7</c:v>
                </c:pt>
                <c:pt idx="5">
                  <c:v>291699.94</c:v>
                </c:pt>
                <c:pt idx="6">
                  <c:v>293395.62</c:v>
                </c:pt>
                <c:pt idx="7">
                  <c:v>297373.49</c:v>
                </c:pt>
                <c:pt idx="8">
                  <c:v>298832.270614231</c:v>
                </c:pt>
                <c:pt idx="9">
                  <c:v>306059.880923472</c:v>
                </c:pt>
                <c:pt idx="10">
                  <c:v>317110.556498918</c:v>
                </c:pt>
                <c:pt idx="11">
                  <c:v>325722.92197433</c:v>
                </c:pt>
                <c:pt idx="12">
                  <c:v>332958.009871133</c:v>
                </c:pt>
                <c:pt idx="13">
                  <c:v>338105.18183143</c:v>
                </c:pt>
                <c:pt idx="14">
                  <c:v>338550.017630416</c:v>
                </c:pt>
                <c:pt idx="15">
                  <c:v>342524.319811631</c:v>
                </c:pt>
                <c:pt idx="16">
                  <c:v>343265.936377345</c:v>
                </c:pt>
                <c:pt idx="17">
                  <c:v>344080.258999911</c:v>
                </c:pt>
                <c:pt idx="18">
                  <c:v>345149.277210377</c:v>
                </c:pt>
                <c:pt idx="19">
                  <c:v>343608.200382447</c:v>
                </c:pt>
                <c:pt idx="20">
                  <c:v>345818.705458039</c:v>
                </c:pt>
                <c:pt idx="21">
                  <c:v>347036.129478524</c:v>
                </c:pt>
                <c:pt idx="22">
                  <c:v>348083.503714318</c:v>
                </c:pt>
                <c:pt idx="23">
                  <c:v>348972.294686619</c:v>
                </c:pt>
              </c:numCache>
            </c:numRef>
          </c:val>
        </c:ser>
        <c:ser>
          <c:idx val="1"/>
          <c:order val="1"/>
          <c:tx>
            <c:strRef>
              <c:f>"Licence resale"</c:f>
              <c:strCache>
                <c:ptCount val="1"/>
                <c:pt idx="0">
                  <c:v>Licence resale</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Assumptions!$E$200:$AB$200</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PL!$E$58:$AB$58</c:f>
              <c:numCache>
                <c:formatCode>#,##0;\(#,##0\);\-</c:formatCode>
                <c:ptCount val="24"/>
                <c:pt idx="0">
                  <c:v>40560.95</c:v>
                </c:pt>
                <c:pt idx="1">
                  <c:v>41360.3666666667</c:v>
                </c:pt>
                <c:pt idx="2">
                  <c:v>43158.9666666667</c:v>
                </c:pt>
                <c:pt idx="3">
                  <c:v>41960.0166666667</c:v>
                </c:pt>
                <c:pt idx="4">
                  <c:v>42151.5666666667</c:v>
                </c:pt>
                <c:pt idx="5">
                  <c:v>42684.55</c:v>
                </c:pt>
                <c:pt idx="6">
                  <c:v>41885.25</c:v>
                </c:pt>
                <c:pt idx="7">
                  <c:v>39512.2333333333</c:v>
                </c:pt>
                <c:pt idx="8">
                  <c:v>42854.9470166667</c:v>
                </c:pt>
                <c:pt idx="9">
                  <c:v>43470.7223666667</c:v>
                </c:pt>
                <c:pt idx="10">
                  <c:v>44157.3227666667</c:v>
                </c:pt>
                <c:pt idx="11">
                  <c:v>45048.9066</c:v>
                </c:pt>
                <c:pt idx="12">
                  <c:v>41819.3207666667</c:v>
                </c:pt>
                <c:pt idx="13">
                  <c:v>42347.9377333333</c:v>
                </c:pt>
                <c:pt idx="14">
                  <c:v>44028.4387333333</c:v>
                </c:pt>
                <c:pt idx="15">
                  <c:v>42865.72965</c:v>
                </c:pt>
                <c:pt idx="16">
                  <c:v>43140.2048</c:v>
                </c:pt>
                <c:pt idx="17">
                  <c:v>43682.8217666667</c:v>
                </c:pt>
                <c:pt idx="18">
                  <c:v>42913.2379333333</c:v>
                </c:pt>
                <c:pt idx="19">
                  <c:v>40671.4698666667</c:v>
                </c:pt>
                <c:pt idx="20">
                  <c:v>44223.2136833333</c:v>
                </c:pt>
                <c:pt idx="21">
                  <c:v>44840.9890333333</c:v>
                </c:pt>
                <c:pt idx="22">
                  <c:v>45529.1894333333</c:v>
                </c:pt>
                <c:pt idx="23">
                  <c:v>46424.1066</c:v>
                </c:pt>
              </c:numCache>
            </c:numRef>
          </c:val>
        </c:ser>
        <c:ser>
          <c:idx val="2"/>
          <c:order val="2"/>
          <c:tx>
            <c:strRef>
              <c:f>"Hardware"</c:f>
              <c:strCache>
                <c:ptCount val="1"/>
                <c:pt idx="0">
                  <c:v>Hardware</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Assumptions!$E$200:$AB$200</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PL!$E$59:$AB$59</c:f>
              <c:numCache>
                <c:formatCode>#,##0;\(#,##0\);\-</c:formatCode>
                <c:ptCount val="24"/>
                <c:pt idx="0">
                  <c:v>186000</c:v>
                </c:pt>
                <c:pt idx="1">
                  <c:v>197000</c:v>
                </c:pt>
                <c:pt idx="2">
                  <c:v>224000</c:v>
                </c:pt>
                <c:pt idx="3">
                  <c:v>201000</c:v>
                </c:pt>
                <c:pt idx="4">
                  <c:v>212000</c:v>
                </c:pt>
                <c:pt idx="5">
                  <c:v>238000</c:v>
                </c:pt>
                <c:pt idx="6">
                  <c:v>196000</c:v>
                </c:pt>
                <c:pt idx="7">
                  <c:v>121000</c:v>
                </c:pt>
                <c:pt idx="8">
                  <c:v>245440</c:v>
                </c:pt>
                <c:pt idx="9">
                  <c:v>266240</c:v>
                </c:pt>
                <c:pt idx="10">
                  <c:v>222560</c:v>
                </c:pt>
                <c:pt idx="11">
                  <c:v>203840</c:v>
                </c:pt>
                <c:pt idx="12">
                  <c:v>183040</c:v>
                </c:pt>
                <c:pt idx="13">
                  <c:v>191360</c:v>
                </c:pt>
                <c:pt idx="14">
                  <c:v>218400</c:v>
                </c:pt>
                <c:pt idx="15">
                  <c:v>197600</c:v>
                </c:pt>
                <c:pt idx="16">
                  <c:v>208000</c:v>
                </c:pt>
                <c:pt idx="17">
                  <c:v>232960</c:v>
                </c:pt>
                <c:pt idx="18">
                  <c:v>191360</c:v>
                </c:pt>
                <c:pt idx="19">
                  <c:v>124800</c:v>
                </c:pt>
                <c:pt idx="20">
                  <c:v>245440</c:v>
                </c:pt>
                <c:pt idx="21">
                  <c:v>266240</c:v>
                </c:pt>
                <c:pt idx="22">
                  <c:v>222560</c:v>
                </c:pt>
                <c:pt idx="23">
                  <c:v>203840</c:v>
                </c:pt>
              </c:numCache>
            </c:numRef>
          </c:val>
        </c:ser>
        <c:ser>
          <c:idx val="3"/>
          <c:order val="3"/>
          <c:tx>
            <c:strRef>
              <c:f>"Projects"</c:f>
              <c:strCache>
                <c:ptCount val="1"/>
                <c:pt idx="0">
                  <c:v>Projects</c:v>
                </c:pt>
              </c:strCache>
            </c:strRef>
          </c:tx>
          <c:spPr>
            <a:solidFill>
              <a:srgbClr val="8064a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Assumptions!$E$200:$AB$200</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PL!$E$60:$AB$60</c:f>
              <c:numCache>
                <c:formatCode>#,##0;\(#,##0\);\-</c:formatCode>
                <c:ptCount val="24"/>
                <c:pt idx="0">
                  <c:v>50552.08</c:v>
                </c:pt>
                <c:pt idx="1">
                  <c:v>68641.43</c:v>
                </c:pt>
                <c:pt idx="2">
                  <c:v>91670.16</c:v>
                </c:pt>
                <c:pt idx="3">
                  <c:v>96051.3</c:v>
                </c:pt>
                <c:pt idx="4">
                  <c:v>88649.11</c:v>
                </c:pt>
                <c:pt idx="5">
                  <c:v>29853.61</c:v>
                </c:pt>
                <c:pt idx="6">
                  <c:v>71123.71</c:v>
                </c:pt>
                <c:pt idx="7">
                  <c:v>38771.77</c:v>
                </c:pt>
                <c:pt idx="8">
                  <c:v>90081.7919047619</c:v>
                </c:pt>
                <c:pt idx="9">
                  <c:v>104400</c:v>
                </c:pt>
                <c:pt idx="10">
                  <c:v>99000</c:v>
                </c:pt>
                <c:pt idx="11">
                  <c:v>94500</c:v>
                </c:pt>
                <c:pt idx="12">
                  <c:v>85500</c:v>
                </c:pt>
                <c:pt idx="13">
                  <c:v>89100</c:v>
                </c:pt>
                <c:pt idx="14">
                  <c:v>95400</c:v>
                </c:pt>
                <c:pt idx="15">
                  <c:v>91800</c:v>
                </c:pt>
                <c:pt idx="16">
                  <c:v>87300</c:v>
                </c:pt>
                <c:pt idx="17">
                  <c:v>99000</c:v>
                </c:pt>
                <c:pt idx="18">
                  <c:v>83700</c:v>
                </c:pt>
                <c:pt idx="19">
                  <c:v>54000</c:v>
                </c:pt>
                <c:pt idx="20">
                  <c:v>94500</c:v>
                </c:pt>
                <c:pt idx="21">
                  <c:v>104400</c:v>
                </c:pt>
                <c:pt idx="22">
                  <c:v>99000</c:v>
                </c:pt>
                <c:pt idx="23">
                  <c:v>94500</c:v>
                </c:pt>
              </c:numCache>
            </c:numRef>
          </c:val>
        </c:ser>
        <c:gapWidth val="150"/>
        <c:overlap val="100"/>
        <c:axId val="44300821"/>
        <c:axId val="75935597"/>
      </c:barChart>
      <c:catAx>
        <c:axId val="44300821"/>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5935597"/>
        <c:crosses val="autoZero"/>
        <c:auto val="1"/>
        <c:lblAlgn val="ctr"/>
        <c:lblOffset val="100"/>
        <c:noMultiLvlLbl val="0"/>
      </c:catAx>
      <c:valAx>
        <c:axId val="75935597"/>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4300821"/>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Service desk utilisation and SLA attainment</a:t>
            </a:r>
          </a:p>
        </c:rich>
      </c:tx>
      <c:overlay val="0"/>
      <c:spPr>
        <a:noFill/>
        <a:ln w="0">
          <a:noFill/>
        </a:ln>
      </c:spPr>
    </c:title>
    <c:autoTitleDeleted val="0"/>
    <c:plotArea>
      <c:lineChart>
        <c:grouping val="standard"/>
        <c:varyColors val="0"/>
        <c:ser>
          <c:idx val="0"/>
          <c:order val="0"/>
          <c:tx>
            <c:strRef>
              <c:f>"Utilisation"</c:f>
              <c:strCache>
                <c:ptCount val="1"/>
                <c:pt idx="0">
                  <c:v>Utilisation</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Assumptions!$E$200:$AB$200</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Service_Desk!$E$25:$AB$25</c:f>
              <c:numCache>
                <c:formatCode>0.0%;\(0.0%\);\-</c:formatCode>
                <c:ptCount val="24"/>
                <c:pt idx="0">
                  <c:v>0.814536543458015</c:v>
                </c:pt>
                <c:pt idx="1">
                  <c:v>0.807026923383707</c:v>
                </c:pt>
                <c:pt idx="2">
                  <c:v>0.883534579749206</c:v>
                </c:pt>
                <c:pt idx="3">
                  <c:v>0.895207845294596</c:v>
                </c:pt>
                <c:pt idx="4">
                  <c:v>0.907772777132533</c:v>
                </c:pt>
                <c:pt idx="5">
                  <c:v>0.89054428226484</c:v>
                </c:pt>
                <c:pt idx="6">
                  <c:v>0.984569273514586</c:v>
                </c:pt>
                <c:pt idx="7">
                  <c:v>0.956967835055707</c:v>
                </c:pt>
                <c:pt idx="8">
                  <c:v>0.946224005024392</c:v>
                </c:pt>
                <c:pt idx="9">
                  <c:v>0.846826912799911</c:v>
                </c:pt>
                <c:pt idx="10">
                  <c:v>0.950506000379139</c:v>
                </c:pt>
                <c:pt idx="11">
                  <c:v>0.844038705086206</c:v>
                </c:pt>
                <c:pt idx="12">
                  <c:v>0.85128121691386</c:v>
                </c:pt>
                <c:pt idx="13">
                  <c:v>0.858733783940534</c:v>
                </c:pt>
                <c:pt idx="14">
                  <c:v>0.80260891831699</c:v>
                </c:pt>
                <c:pt idx="15">
                  <c:v>0.823400325317093</c:v>
                </c:pt>
                <c:pt idx="16">
                  <c:v>0.792460040749685</c:v>
                </c:pt>
                <c:pt idx="17">
                  <c:v>0.789233956177672</c:v>
                </c:pt>
                <c:pt idx="18">
                  <c:v>0.822076246296033</c:v>
                </c:pt>
                <c:pt idx="19">
                  <c:v>0.854762702465612</c:v>
                </c:pt>
                <c:pt idx="20">
                  <c:v>0.825736561926586</c:v>
                </c:pt>
                <c:pt idx="21">
                  <c:v>0.795425422971701</c:v>
                </c:pt>
                <c:pt idx="22">
                  <c:v>0.781975318001294</c:v>
                </c:pt>
                <c:pt idx="23">
                  <c:v>0.783174552384366</c:v>
                </c:pt>
              </c:numCache>
            </c:numRef>
          </c:val>
          <c:smooth val="1"/>
        </c:ser>
        <c:ser>
          <c:idx val="1"/>
          <c:order val="1"/>
          <c:tx>
            <c:strRef>
              <c:f>"SLA attainment"</c:f>
              <c:strCache>
                <c:ptCount val="1"/>
                <c:pt idx="0">
                  <c:v>SLA attainment</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Assumptions!$E$200:$AB$200</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Service_Desk!$E$26:$AB$26</c:f>
              <c:numCache>
                <c:formatCode>0.0%;\(0.0%\);\-</c:formatCode>
                <c:ptCount val="24"/>
                <c:pt idx="0">
                  <c:v>0.9734</c:v>
                </c:pt>
                <c:pt idx="1">
                  <c:v>0.9803</c:v>
                </c:pt>
                <c:pt idx="2">
                  <c:v>0.9318</c:v>
                </c:pt>
                <c:pt idx="3">
                  <c:v>0.9181</c:v>
                </c:pt>
                <c:pt idx="4">
                  <c:v>0.9122</c:v>
                </c:pt>
                <c:pt idx="5">
                  <c:v>0.9265</c:v>
                </c:pt>
                <c:pt idx="6">
                  <c:v>0.8639</c:v>
                </c:pt>
                <c:pt idx="7">
                  <c:v>0.884</c:v>
                </c:pt>
                <c:pt idx="8">
                  <c:v>0.889954396734146</c:v>
                </c:pt>
                <c:pt idx="9">
                  <c:v>0.954562506680058</c:v>
                </c:pt>
                <c:pt idx="10">
                  <c:v>0.88717109975356</c:v>
                </c:pt>
                <c:pt idx="11">
                  <c:v>0.956374841693966</c:v>
                </c:pt>
                <c:pt idx="12">
                  <c:v>0.951667209005991</c:v>
                </c:pt>
                <c:pt idx="13">
                  <c:v>0.946823040438653</c:v>
                </c:pt>
                <c:pt idx="14">
                  <c:v>0.983304203093956</c:v>
                </c:pt>
                <c:pt idx="15">
                  <c:v>0.96978978854389</c:v>
                </c:pt>
                <c:pt idx="16">
                  <c:v>0.985</c:v>
                </c:pt>
                <c:pt idx="17">
                  <c:v>0.985</c:v>
                </c:pt>
                <c:pt idx="18">
                  <c:v>0.970650439907579</c:v>
                </c:pt>
                <c:pt idx="19">
                  <c:v>0.949404243397352</c:v>
                </c:pt>
                <c:pt idx="20">
                  <c:v>0.968271234747719</c:v>
                </c:pt>
                <c:pt idx="21">
                  <c:v>0.985</c:v>
                </c:pt>
                <c:pt idx="22">
                  <c:v>0.985</c:v>
                </c:pt>
                <c:pt idx="23">
                  <c:v>0.985</c:v>
                </c:pt>
              </c:numCache>
            </c:numRef>
          </c:val>
          <c:smooth val="1"/>
        </c:ser>
        <c:hiLowLines>
          <c:spPr>
            <a:ln w="0">
              <a:noFill/>
            </a:ln>
          </c:spPr>
        </c:hiLowLines>
        <c:marker val="0"/>
        <c:axId val="72343374"/>
        <c:axId val="6957773"/>
      </c:lineChart>
      <c:catAx>
        <c:axId val="72343374"/>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957773"/>
        <c:crosses val="autoZero"/>
        <c:auto val="1"/>
        <c:lblAlgn val="ctr"/>
        <c:lblOffset val="100"/>
        <c:noMultiLvlLbl val="0"/>
      </c:catAx>
      <c:valAx>
        <c:axId val="6957773"/>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2343374"/>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Gross margin % by service line</a:t>
            </a:r>
          </a:p>
        </c:rich>
      </c:tx>
      <c:overlay val="0"/>
      <c:spPr>
        <a:noFill/>
        <a:ln w="0">
          <a:noFill/>
        </a:ln>
      </c:spPr>
    </c:title>
    <c:autoTitleDeleted val="0"/>
    <c:plotArea>
      <c:lineChart>
        <c:grouping val="standard"/>
        <c:varyColors val="0"/>
        <c:ser>
          <c:idx val="0"/>
          <c:order val="0"/>
          <c:tx>
            <c:strRef>
              <c:f>"Managed services"</c:f>
              <c:strCache>
                <c:ptCount val="1"/>
                <c:pt idx="0">
                  <c:v>Managed services</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Assumptions!$E$200:$AB$200</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Margins!$E$16:$AB$16</c:f>
              <c:numCache>
                <c:formatCode>0.0%;\(0.0%\);\-</c:formatCode>
                <c:ptCount val="24"/>
                <c:pt idx="0">
                  <c:v>0.314198709052252</c:v>
                </c:pt>
                <c:pt idx="1">
                  <c:v>0.321500140650226</c:v>
                </c:pt>
                <c:pt idx="2">
                  <c:v>0.33601398359303</c:v>
                </c:pt>
                <c:pt idx="3">
                  <c:v>0.354601450898543</c:v>
                </c:pt>
                <c:pt idx="4">
                  <c:v>0.348115323894198</c:v>
                </c:pt>
                <c:pt idx="5">
                  <c:v>0.36471925107071</c:v>
                </c:pt>
                <c:pt idx="6">
                  <c:v>0.369955729554744</c:v>
                </c:pt>
                <c:pt idx="7">
                  <c:v>0.399809923330515</c:v>
                </c:pt>
                <c:pt idx="8">
                  <c:v>0.36537177069873</c:v>
                </c:pt>
                <c:pt idx="9">
                  <c:v>0.352847701552311</c:v>
                </c:pt>
                <c:pt idx="10">
                  <c:v>0.338820838010449</c:v>
                </c:pt>
                <c:pt idx="11">
                  <c:v>0.35611337865641</c:v>
                </c:pt>
                <c:pt idx="12">
                  <c:v>0.336454887177737</c:v>
                </c:pt>
                <c:pt idx="13">
                  <c:v>0.345895826892972</c:v>
                </c:pt>
                <c:pt idx="14">
                  <c:v>0.34262296366969</c:v>
                </c:pt>
                <c:pt idx="15">
                  <c:v>0.351425772820062</c:v>
                </c:pt>
                <c:pt idx="16">
                  <c:v>0.343568037165429</c:v>
                </c:pt>
                <c:pt idx="17">
                  <c:v>0.346005634150047</c:v>
                </c:pt>
                <c:pt idx="18">
                  <c:v>0.363283919089146</c:v>
                </c:pt>
                <c:pt idx="19">
                  <c:v>0.386444676556845</c:v>
                </c:pt>
                <c:pt idx="20">
                  <c:v>0.346553064605578</c:v>
                </c:pt>
                <c:pt idx="21">
                  <c:v>0.339231148043909</c:v>
                </c:pt>
                <c:pt idx="22">
                  <c:v>0.33795533727365</c:v>
                </c:pt>
                <c:pt idx="23">
                  <c:v>0.35441317616382</c:v>
                </c:pt>
              </c:numCache>
            </c:numRef>
          </c:val>
          <c:smooth val="1"/>
        </c:ser>
        <c:ser>
          <c:idx val="1"/>
          <c:order val="1"/>
          <c:tx>
            <c:strRef>
              <c:f>"Hardware"</c:f>
              <c:strCache>
                <c:ptCount val="1"/>
                <c:pt idx="0">
                  <c:v>Hardware</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Assumptions!$E$200:$AB$200</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Margins!$E$22:$AB$22</c:f>
              <c:numCache>
                <c:formatCode>0.0%;\(0.0%\);\-</c:formatCode>
                <c:ptCount val="24"/>
                <c:pt idx="0">
                  <c:v>0.142212795698925</c:v>
                </c:pt>
                <c:pt idx="1">
                  <c:v>0.142245025380711</c:v>
                </c:pt>
                <c:pt idx="2">
                  <c:v>0.142123526785714</c:v>
                </c:pt>
                <c:pt idx="3">
                  <c:v>0.139703880597015</c:v>
                </c:pt>
                <c:pt idx="4">
                  <c:v>0.141556698113208</c:v>
                </c:pt>
                <c:pt idx="5">
                  <c:v>0.139980798319328</c:v>
                </c:pt>
                <c:pt idx="6">
                  <c:v>0.139869846938776</c:v>
                </c:pt>
                <c:pt idx="7">
                  <c:v>0.137034545454545</c:v>
                </c:pt>
                <c:pt idx="8">
                  <c:v>0.14396064785691</c:v>
                </c:pt>
                <c:pt idx="9">
                  <c:v>0.141359971774194</c:v>
                </c:pt>
                <c:pt idx="10">
                  <c:v>0.140117566475731</c:v>
                </c:pt>
                <c:pt idx="11">
                  <c:v>0.140322525345622</c:v>
                </c:pt>
                <c:pt idx="12">
                  <c:v>0.140408739002933</c:v>
                </c:pt>
                <c:pt idx="13">
                  <c:v>0.141969733520337</c:v>
                </c:pt>
                <c:pt idx="14">
                  <c:v>0.141256811059908</c:v>
                </c:pt>
                <c:pt idx="15">
                  <c:v>0.140655103565365</c:v>
                </c:pt>
                <c:pt idx="16">
                  <c:v>0.141188296774194</c:v>
                </c:pt>
                <c:pt idx="17">
                  <c:v>0.141909806451613</c:v>
                </c:pt>
                <c:pt idx="18">
                  <c:v>0.139556140252454</c:v>
                </c:pt>
                <c:pt idx="19">
                  <c:v>0.137929548387097</c:v>
                </c:pt>
                <c:pt idx="20">
                  <c:v>0.144180391470749</c:v>
                </c:pt>
                <c:pt idx="21">
                  <c:v>0.141359971774194</c:v>
                </c:pt>
                <c:pt idx="22">
                  <c:v>0.140117566475731</c:v>
                </c:pt>
                <c:pt idx="23">
                  <c:v>0.140322525345622</c:v>
                </c:pt>
              </c:numCache>
            </c:numRef>
          </c:val>
          <c:smooth val="1"/>
        </c:ser>
        <c:ser>
          <c:idx val="2"/>
          <c:order val="2"/>
          <c:tx>
            <c:strRef>
              <c:f>"Licence resale"</c:f>
              <c:strCache>
                <c:ptCount val="1"/>
                <c:pt idx="0">
                  <c:v>Licence resale</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Assumptions!$E$200:$AB$200</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Margins!$E$27:$AB$27</c:f>
              <c:numCache>
                <c:formatCode>0.0%;\(0.0%\);\-</c:formatCode>
                <c:ptCount val="24"/>
                <c:pt idx="0">
                  <c:v>0.506836052140594</c:v>
                </c:pt>
                <c:pt idx="1">
                  <c:v>0.387674987637795</c:v>
                </c:pt>
                <c:pt idx="2">
                  <c:v>0.414654488483831</c:v>
                </c:pt>
                <c:pt idx="3">
                  <c:v>0.394234104687292</c:v>
                </c:pt>
                <c:pt idx="4">
                  <c:v>0.393218606319356</c:v>
                </c:pt>
                <c:pt idx="5">
                  <c:v>0.402979289243833</c:v>
                </c:pt>
                <c:pt idx="6">
                  <c:v>0.387576301395257</c:v>
                </c:pt>
                <c:pt idx="7">
                  <c:v>0.347153743849946</c:v>
                </c:pt>
                <c:pt idx="8">
                  <c:v>0.405543480038394</c:v>
                </c:pt>
                <c:pt idx="9">
                  <c:v>0.409271682902661</c:v>
                </c:pt>
                <c:pt idx="10">
                  <c:v>0.416157478502567</c:v>
                </c:pt>
                <c:pt idx="11">
                  <c:v>0.433149394129801</c:v>
                </c:pt>
                <c:pt idx="12">
                  <c:v>0.498514220647437</c:v>
                </c:pt>
                <c:pt idx="13">
                  <c:v>0.374981934185206</c:v>
                </c:pt>
                <c:pt idx="14">
                  <c:v>0.401018439625767</c:v>
                </c:pt>
                <c:pt idx="15">
                  <c:v>0.381512191289621</c:v>
                </c:pt>
                <c:pt idx="16">
                  <c:v>0.381970370247292</c:v>
                </c:pt>
                <c:pt idx="17">
                  <c:v>0.392823815083625</c:v>
                </c:pt>
                <c:pt idx="18">
                  <c:v>0.378100665002411</c:v>
                </c:pt>
                <c:pt idx="19">
                  <c:v>0.340391926954831</c:v>
                </c:pt>
                <c:pt idx="20">
                  <c:v>0.400893409442145</c:v>
                </c:pt>
                <c:pt idx="21">
                  <c:v>0.40441630059764</c:v>
                </c:pt>
                <c:pt idx="22">
                  <c:v>0.411099562565388</c:v>
                </c:pt>
                <c:pt idx="23">
                  <c:v>0.427938587406225</c:v>
                </c:pt>
              </c:numCache>
            </c:numRef>
          </c:val>
          <c:smooth val="1"/>
        </c:ser>
        <c:ser>
          <c:idx val="3"/>
          <c:order val="3"/>
          <c:tx>
            <c:strRef>
              <c:f>"Projects"</c:f>
              <c:strCache>
                <c:ptCount val="1"/>
                <c:pt idx="0">
                  <c:v>Projects</c:v>
                </c:pt>
              </c:strCache>
            </c:strRef>
          </c:tx>
          <c:spPr>
            <a:solidFill>
              <a:srgbClr val="7d5fa0"/>
            </a:solidFill>
            <a:ln w="28440">
              <a:solidFill>
                <a:srgbClr val="7d5fa0"/>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Assumptions!$E$200:$AB$200</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Margins!$E$34:$AB$34</c:f>
              <c:numCache>
                <c:formatCode>0.0%;\(0.0%\);\-</c:formatCode>
                <c:ptCount val="24"/>
                <c:pt idx="0">
                  <c:v>0.0712034005326784</c:v>
                </c:pt>
                <c:pt idx="1">
                  <c:v>0.247161226099165</c:v>
                </c:pt>
                <c:pt idx="2">
                  <c:v>0.400503609898794</c:v>
                </c:pt>
                <c:pt idx="3">
                  <c:v>0.384404948189145</c:v>
                </c:pt>
                <c:pt idx="4">
                  <c:v>0.291993752108735</c:v>
                </c:pt>
                <c:pt idx="5">
                  <c:v>-1.45785501317931</c:v>
                </c:pt>
                <c:pt idx="6">
                  <c:v>0.216600993536473</c:v>
                </c:pt>
                <c:pt idx="7">
                  <c:v>-0.25520846094981</c:v>
                </c:pt>
                <c:pt idx="8">
                  <c:v>0.37704254378797</c:v>
                </c:pt>
                <c:pt idx="9">
                  <c:v>0.390738046959265</c:v>
                </c:pt>
                <c:pt idx="10">
                  <c:v>0.360125099430996</c:v>
                </c:pt>
                <c:pt idx="11">
                  <c:v>0.410626666019211</c:v>
                </c:pt>
                <c:pt idx="12">
                  <c:v>0.285060506898258</c:v>
                </c:pt>
                <c:pt idx="13">
                  <c:v>0.290364360870688</c:v>
                </c:pt>
                <c:pt idx="14">
                  <c:v>0.329570666152211</c:v>
                </c:pt>
                <c:pt idx="15">
                  <c:v>0.32653094364401</c:v>
                </c:pt>
                <c:pt idx="16">
                  <c:v>0.283416906472758</c:v>
                </c:pt>
                <c:pt idx="17">
                  <c:v>0.366738174694668</c:v>
                </c:pt>
                <c:pt idx="18">
                  <c:v>0.298425096299245</c:v>
                </c:pt>
                <c:pt idx="19">
                  <c:v>0.0418779648511631</c:v>
                </c:pt>
                <c:pt idx="20">
                  <c:v>0.337825484447763</c:v>
                </c:pt>
                <c:pt idx="21">
                  <c:v>0.376963842149643</c:v>
                </c:pt>
                <c:pt idx="22">
                  <c:v>0.345262441556433</c:v>
                </c:pt>
                <c:pt idx="23">
                  <c:v>0.342325165694702</c:v>
                </c:pt>
              </c:numCache>
            </c:numRef>
          </c:val>
          <c:smooth val="1"/>
        </c:ser>
        <c:hiLowLines>
          <c:spPr>
            <a:ln w="0">
              <a:noFill/>
            </a:ln>
          </c:spPr>
        </c:hiLowLines>
        <c:marker val="0"/>
        <c:axId val="53359204"/>
        <c:axId val="3040800"/>
      </c:lineChart>
      <c:catAx>
        <c:axId val="53359204"/>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040800"/>
        <c:crosses val="autoZero"/>
        <c:auto val="1"/>
        <c:lblAlgn val="ctr"/>
        <c:lblOffset val="100"/>
        <c:noMultiLvlLbl val="0"/>
      </c:catAx>
      <c:valAx>
        <c:axId val="3040800"/>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3359204"/>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Cash at bank vs the board buffer, and the bank loan (EUR)</a:t>
            </a:r>
          </a:p>
        </c:rich>
      </c:tx>
      <c:overlay val="0"/>
      <c:spPr>
        <a:noFill/>
        <a:ln w="0">
          <a:noFill/>
        </a:ln>
      </c:spPr>
    </c:title>
    <c:autoTitleDeleted val="0"/>
    <c:plotArea>
      <c:lineChart>
        <c:grouping val="standard"/>
        <c:varyColors val="0"/>
        <c:ser>
          <c:idx val="0"/>
          <c:order val="0"/>
          <c:tx>
            <c:strRef>
              <c:f>"Cash at bank"</c:f>
              <c:strCache>
                <c:ptCount val="1"/>
                <c:pt idx="0">
                  <c:v>Cash at bank</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Assumptions!$E$200:$AB$200</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KPIs!$E$41:$AB$41</c:f>
              <c:numCache>
                <c:formatCode>#,##0;\(#,##0\);\-</c:formatCode>
                <c:ptCount val="24"/>
                <c:pt idx="0">
                  <c:v>1081285.7015</c:v>
                </c:pt>
                <c:pt idx="1">
                  <c:v>1191256.17355</c:v>
                </c:pt>
                <c:pt idx="2">
                  <c:v>1285102.226625</c:v>
                </c:pt>
                <c:pt idx="3">
                  <c:v>1255629.589725</c:v>
                </c:pt>
                <c:pt idx="4">
                  <c:v>1151241.06535</c:v>
                </c:pt>
                <c:pt idx="5">
                  <c:v>880479.687449999</c:v>
                </c:pt>
                <c:pt idx="6">
                  <c:v>719668.270749998</c:v>
                </c:pt>
                <c:pt idx="7">
                  <c:v>842052.882849998</c:v>
                </c:pt>
                <c:pt idx="8">
                  <c:v>805903.217498883</c:v>
                </c:pt>
                <c:pt idx="9">
                  <c:v>747498.193180666</c:v>
                </c:pt>
                <c:pt idx="10">
                  <c:v>689023.011464358</c:v>
                </c:pt>
                <c:pt idx="11">
                  <c:v>704225.523172196</c:v>
                </c:pt>
                <c:pt idx="12">
                  <c:v>774924.957040646</c:v>
                </c:pt>
                <c:pt idx="13">
                  <c:v>843337.606739651</c:v>
                </c:pt>
                <c:pt idx="14">
                  <c:v>973624.402927203</c:v>
                </c:pt>
                <c:pt idx="15">
                  <c:v>1013620.04470379</c:v>
                </c:pt>
                <c:pt idx="16">
                  <c:v>1122811.40593551</c:v>
                </c:pt>
                <c:pt idx="17">
                  <c:v>1067687.99552386</c:v>
                </c:pt>
                <c:pt idx="18">
                  <c:v>997915.305979996</c:v>
                </c:pt>
                <c:pt idx="19">
                  <c:v>1190957.87565018</c:v>
                </c:pt>
                <c:pt idx="20">
                  <c:v>1267478.33340301</c:v>
                </c:pt>
                <c:pt idx="21">
                  <c:v>1207475.59812654</c:v>
                </c:pt>
                <c:pt idx="22">
                  <c:v>1198311.33665152</c:v>
                </c:pt>
                <c:pt idx="23">
                  <c:v>1204217.46963487</c:v>
                </c:pt>
              </c:numCache>
            </c:numRef>
          </c:val>
          <c:smooth val="1"/>
        </c:ser>
        <c:ser>
          <c:idx val="1"/>
          <c:order val="1"/>
          <c:tx>
            <c:strRef>
              <c:f>"Board buffer"</c:f>
              <c:strCache>
                <c:ptCount val="1"/>
                <c:pt idx="0">
                  <c:v>Board buffer</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Assumptions!$E$200:$AB$200</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KPIs!$E$42:$AB$42</c:f>
              <c:numCache>
                <c:formatCode>#,##0;\(#,##0\);\-</c:formatCode>
                <c:ptCount val="24"/>
                <c:pt idx="0">
                  <c:v>400000</c:v>
                </c:pt>
                <c:pt idx="1">
                  <c:v>400000</c:v>
                </c:pt>
                <c:pt idx="2">
                  <c:v>400000</c:v>
                </c:pt>
                <c:pt idx="3">
                  <c:v>400000</c:v>
                </c:pt>
                <c:pt idx="4">
                  <c:v>400000</c:v>
                </c:pt>
                <c:pt idx="5">
                  <c:v>400000</c:v>
                </c:pt>
                <c:pt idx="6">
                  <c:v>400000</c:v>
                </c:pt>
                <c:pt idx="7">
                  <c:v>400000</c:v>
                </c:pt>
                <c:pt idx="8">
                  <c:v>400000</c:v>
                </c:pt>
                <c:pt idx="9">
                  <c:v>400000</c:v>
                </c:pt>
                <c:pt idx="10">
                  <c:v>400000</c:v>
                </c:pt>
                <c:pt idx="11">
                  <c:v>400000</c:v>
                </c:pt>
                <c:pt idx="12">
                  <c:v>400000</c:v>
                </c:pt>
                <c:pt idx="13">
                  <c:v>400000</c:v>
                </c:pt>
                <c:pt idx="14">
                  <c:v>400000</c:v>
                </c:pt>
                <c:pt idx="15">
                  <c:v>400000</c:v>
                </c:pt>
                <c:pt idx="16">
                  <c:v>400000</c:v>
                </c:pt>
                <c:pt idx="17">
                  <c:v>400000</c:v>
                </c:pt>
                <c:pt idx="18">
                  <c:v>400000</c:v>
                </c:pt>
                <c:pt idx="19">
                  <c:v>400000</c:v>
                </c:pt>
                <c:pt idx="20">
                  <c:v>400000</c:v>
                </c:pt>
                <c:pt idx="21">
                  <c:v>400000</c:v>
                </c:pt>
                <c:pt idx="22">
                  <c:v>400000</c:v>
                </c:pt>
                <c:pt idx="23">
                  <c:v>400000</c:v>
                </c:pt>
              </c:numCache>
            </c:numRef>
          </c:val>
          <c:smooth val="1"/>
        </c:ser>
        <c:ser>
          <c:idx val="2"/>
          <c:order val="2"/>
          <c:tx>
            <c:strRef>
              <c:f>"Bank loan"</c:f>
              <c:strCache>
                <c:ptCount val="1"/>
                <c:pt idx="0">
                  <c:v>Bank loan</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Assumptions!$E$200:$AB$200</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KPIs!$E$44:$AB$44</c:f>
              <c:numCache>
                <c:formatCode>#,##0;\(#,##0\);\-</c:formatCode>
                <c:ptCount val="24"/>
                <c:pt idx="0">
                  <c:v>1266666.67</c:v>
                </c:pt>
                <c:pt idx="1">
                  <c:v>1233333.34</c:v>
                </c:pt>
                <c:pt idx="2">
                  <c:v>1200000.01</c:v>
                </c:pt>
                <c:pt idx="3">
                  <c:v>1166666.68</c:v>
                </c:pt>
                <c:pt idx="4">
                  <c:v>1133333.35</c:v>
                </c:pt>
                <c:pt idx="5">
                  <c:v>1100000.02</c:v>
                </c:pt>
                <c:pt idx="6">
                  <c:v>1066666.69</c:v>
                </c:pt>
                <c:pt idx="7">
                  <c:v>1033333.36</c:v>
                </c:pt>
                <c:pt idx="8">
                  <c:v>1000000.03</c:v>
                </c:pt>
                <c:pt idx="9">
                  <c:v>966666.7</c:v>
                </c:pt>
                <c:pt idx="10">
                  <c:v>933333.37</c:v>
                </c:pt>
                <c:pt idx="11">
                  <c:v>900000.04</c:v>
                </c:pt>
                <c:pt idx="12">
                  <c:v>866666.71</c:v>
                </c:pt>
                <c:pt idx="13">
                  <c:v>833333.38</c:v>
                </c:pt>
                <c:pt idx="14">
                  <c:v>800000.05</c:v>
                </c:pt>
                <c:pt idx="15">
                  <c:v>766666.72</c:v>
                </c:pt>
                <c:pt idx="16">
                  <c:v>733333.39</c:v>
                </c:pt>
                <c:pt idx="17">
                  <c:v>700000.06</c:v>
                </c:pt>
                <c:pt idx="18">
                  <c:v>666666.73</c:v>
                </c:pt>
                <c:pt idx="19">
                  <c:v>633333.4</c:v>
                </c:pt>
                <c:pt idx="20">
                  <c:v>600000.07</c:v>
                </c:pt>
                <c:pt idx="21">
                  <c:v>566666.74</c:v>
                </c:pt>
                <c:pt idx="22">
                  <c:v>533333.41</c:v>
                </c:pt>
                <c:pt idx="23">
                  <c:v>500000.08</c:v>
                </c:pt>
              </c:numCache>
            </c:numRef>
          </c:val>
          <c:smooth val="1"/>
        </c:ser>
        <c:hiLowLines>
          <c:spPr>
            <a:ln w="0">
              <a:noFill/>
            </a:ln>
          </c:spPr>
        </c:hiLowLines>
        <c:marker val="0"/>
        <c:axId val="21816797"/>
        <c:axId val="68347479"/>
      </c:lineChart>
      <c:catAx>
        <c:axId val="21816797"/>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347479"/>
        <c:crosses val="autoZero"/>
        <c:auto val="1"/>
        <c:lblAlgn val="ctr"/>
        <c:lblOffset val="100"/>
        <c:noMultiLvlLbl val="0"/>
      </c:catAx>
      <c:valAx>
        <c:axId val="68347479"/>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1816797"/>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54</xdr:row>
      <xdr:rowOff>160560</xdr:rowOff>
    </xdr:from>
    <xdr:to>
      <xdr:col>4</xdr:col>
      <xdr:colOff>730080</xdr:colOff>
      <xdr:row>69</xdr:row>
      <xdr:rowOff>2880</xdr:rowOff>
    </xdr:to>
    <xdr:graphicFrame>
      <xdr:nvGraphicFramePr>
        <xdr:cNvPr id="0" name="Chart 1"/>
        <xdr:cNvGraphicFramePr/>
      </xdr:nvGraphicFramePr>
      <xdr:xfrm>
        <a:off x="0" y="10477440"/>
        <a:ext cx="79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70</xdr:row>
      <xdr:rowOff>160560</xdr:rowOff>
    </xdr:from>
    <xdr:to>
      <xdr:col>4</xdr:col>
      <xdr:colOff>730080</xdr:colOff>
      <xdr:row>85</xdr:row>
      <xdr:rowOff>2880</xdr:rowOff>
    </xdr:to>
    <xdr:graphicFrame>
      <xdr:nvGraphicFramePr>
        <xdr:cNvPr id="1" name="Chart 2"/>
        <xdr:cNvGraphicFramePr/>
      </xdr:nvGraphicFramePr>
      <xdr:xfrm>
        <a:off x="0" y="13525560"/>
        <a:ext cx="7919640" cy="269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86</xdr:row>
      <xdr:rowOff>160920</xdr:rowOff>
    </xdr:from>
    <xdr:to>
      <xdr:col>4</xdr:col>
      <xdr:colOff>730080</xdr:colOff>
      <xdr:row>101</xdr:row>
      <xdr:rowOff>2880</xdr:rowOff>
    </xdr:to>
    <xdr:graphicFrame>
      <xdr:nvGraphicFramePr>
        <xdr:cNvPr id="2" name="Chart 3"/>
        <xdr:cNvGraphicFramePr/>
      </xdr:nvGraphicFramePr>
      <xdr:xfrm>
        <a:off x="0" y="16573680"/>
        <a:ext cx="7919640" cy="269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102</xdr:row>
      <xdr:rowOff>160560</xdr:rowOff>
    </xdr:from>
    <xdr:to>
      <xdr:col>4</xdr:col>
      <xdr:colOff>730080</xdr:colOff>
      <xdr:row>117</xdr:row>
      <xdr:rowOff>2880</xdr:rowOff>
    </xdr:to>
    <xdr:graphicFrame>
      <xdr:nvGraphicFramePr>
        <xdr:cNvPr id="3" name="Chart 4"/>
        <xdr:cNvGraphicFramePr/>
      </xdr:nvGraphicFramePr>
      <xdr:xfrm>
        <a:off x="0" y="19621440"/>
        <a:ext cx="7919640" cy="2699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final.xlsx" TargetMode="External"/><Relationship Id="rId2" Type="http://schemas.openxmlformats.org/officeDocument/2006/relationships/hyperlink" Target="final.xlsx" TargetMode="External"/><Relationship Id="rId3" Type="http://schemas.openxmlformats.org/officeDocument/2006/relationships/hyperlink" Target="final.xlsx" TargetMode="External"/><Relationship Id="rId4" Type="http://schemas.openxmlformats.org/officeDocument/2006/relationships/hyperlink" Target="final.xlsx" TargetMode="External"/><Relationship Id="rId5" Type="http://schemas.openxmlformats.org/officeDocument/2006/relationships/hyperlink" Target="final.xlsx" TargetMode="External"/><Relationship Id="rId6" Type="http://schemas.openxmlformats.org/officeDocument/2006/relationships/hyperlink" Target="final.xlsx" TargetMode="External"/><Relationship Id="rId7" Type="http://schemas.openxmlformats.org/officeDocument/2006/relationships/hyperlink" Target="final.xlsx" TargetMode="External"/><Relationship Id="rId8" Type="http://schemas.openxmlformats.org/officeDocument/2006/relationships/hyperlink" Target="final.xlsx" TargetMode="External"/><Relationship Id="rId9" Type="http://schemas.openxmlformats.org/officeDocument/2006/relationships/hyperlink" Target="final.xlsx" TargetMode="External"/><Relationship Id="rId10" Type="http://schemas.openxmlformats.org/officeDocument/2006/relationships/hyperlink" Target="final.xlsx" TargetMode="External"/><Relationship Id="rId11" Type="http://schemas.openxmlformats.org/officeDocument/2006/relationships/hyperlink" Target="final.xlsx" TargetMode="External"/><Relationship Id="rId12" Type="http://schemas.openxmlformats.org/officeDocument/2006/relationships/hyperlink" Target="final.xlsx" TargetMode="External"/><Relationship Id="rId13" Type="http://schemas.openxmlformats.org/officeDocument/2006/relationships/hyperlink" Target="final.xlsx" TargetMode="External"/><Relationship Id="rId14" Type="http://schemas.openxmlformats.org/officeDocument/2006/relationships/hyperlink" Target="final.xlsx" TargetMode="External"/><Relationship Id="rId15" Type="http://schemas.openxmlformats.org/officeDocument/2006/relationships/hyperlink" Target="final.xlsx" TargetMode="External"/><Relationship Id="rId16" Type="http://schemas.openxmlformats.org/officeDocument/2006/relationships/hyperlink" Target="final.xlsx" TargetMode="External"/><Relationship Id="rId17" Type="http://schemas.openxmlformats.org/officeDocument/2006/relationships/hyperlink" Target="final.xlsx" TargetMode="External"/><Relationship Id="rId18" Type="http://schemas.openxmlformats.org/officeDocument/2006/relationships/hyperlink" Target="final.xlsx" TargetMode="External"/><Relationship Id="rId19" Type="http://schemas.openxmlformats.org/officeDocument/2006/relationships/hyperlink" Target="final.xlsx" TargetMode="External"/><Relationship Id="rId20" Type="http://schemas.openxmlformats.org/officeDocument/2006/relationships/hyperlink" Target="final.xlsx" TargetMode="External"/><Relationship Id="rId21" Type="http://schemas.openxmlformats.org/officeDocument/2006/relationships/hyperlink" Target="final.xlsx" TargetMode="External"/><Relationship Id="rId22" Type="http://schemas.openxmlformats.org/officeDocument/2006/relationships/hyperlink" Target="final.xlsx" TargetMode="External"/><Relationship Id="rId23" Type="http://schemas.openxmlformats.org/officeDocument/2006/relationships/hyperlink" Target="final.xlsx" TargetMode="External"/><Relationship Id="rId24" Type="http://schemas.openxmlformats.org/officeDocument/2006/relationships/hyperlink" Target="final.xlsx" TargetMode="External"/><Relationship Id="rId25" Type="http://schemas.openxmlformats.org/officeDocument/2006/relationships/hyperlink" Target="final.xlsx" TargetMode="External"/><Relationship Id="rId26" Type="http://schemas.openxmlformats.org/officeDocument/2006/relationships/hyperlink" Target="final.xlsx" TargetMode="External"/><Relationship Id="rId27" Type="http://schemas.openxmlformats.org/officeDocument/2006/relationships/hyperlink" Target="final.xlsx" TargetMode="External"/><Relationship Id="rId28" Type="http://schemas.openxmlformats.org/officeDocument/2006/relationships/hyperlink" Target="final.xlsx" TargetMode="External"/><Relationship Id="rId29" Type="http://schemas.openxmlformats.org/officeDocument/2006/relationships/hyperlink" Target="final.xlsx" TargetMode="External"/><Relationship Id="rId30" Type="http://schemas.openxmlformats.org/officeDocument/2006/relationships/hyperlink" Target="final.xlsx" TargetMode="External"/><Relationship Id="rId31" Type="http://schemas.openxmlformats.org/officeDocument/2006/relationships/hyperlink" Target="final.xlsx" TargetMode="External"/><Relationship Id="rId32" Type="http://schemas.openxmlformats.org/officeDocument/2006/relationships/hyperlink" Target="final.xlsx" TargetMode="External"/><Relationship Id="rId33" Type="http://schemas.openxmlformats.org/officeDocument/2006/relationships/hyperlink" Target="final.xlsx" TargetMode="External"/><Relationship Id="rId34" Type="http://schemas.openxmlformats.org/officeDocument/2006/relationships/hyperlink" Target="final.xlsx" TargetMode="External"/><Relationship Id="rId35" Type="http://schemas.openxmlformats.org/officeDocument/2006/relationships/hyperlink" Target="final.xlsx" TargetMode="Externa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6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96"/>
    <col collapsed="false" customWidth="true" hidden="false" outlineLevel="0" max="5" min="4" style="0" width="12"/>
  </cols>
  <sheetData>
    <row r="2" customFormat="false" ht="24.45" hidden="false" customHeight="false" outlineLevel="0" collapsed="false">
      <c r="B2" s="1" t="str">
        <f aca="false">Assumptions!$C$6</f>
        <v>Quelvora Sistemas, Lda (fictional demonstration company)</v>
      </c>
    </row>
    <row r="3" customFormat="false" ht="17.35" hidden="false" customHeight="false" outlineLevel="0" collapsed="false">
      <c r="B3" s="2" t="s">
        <v>0</v>
      </c>
    </row>
    <row r="4" customFormat="false" ht="15" hidden="false" customHeight="false" outlineLevel="0" collapsed="false">
      <c r="B4" s="3" t="s">
        <v>1</v>
      </c>
    </row>
    <row r="6" customFormat="false" ht="78" hidden="false" customHeight="true" outlineLevel="0" collapsed="false">
      <c r="B6" s="4" t="s">
        <v>2</v>
      </c>
      <c r="C6" s="4"/>
      <c r="D6" s="4"/>
      <c r="E6" s="4"/>
    </row>
    <row r="8" customFormat="false" ht="15" hidden="false" customHeight="false" outlineLevel="0" collapsed="false">
      <c r="B8" s="5" t="s">
        <v>3</v>
      </c>
      <c r="C8" s="6" t="n">
        <f aca="false">Assumptions!$C$9</f>
        <v>46265</v>
      </c>
    </row>
    <row r="9" customFormat="false" ht="15" hidden="false" customHeight="false" outlineLevel="0" collapsed="false">
      <c r="B9" s="5" t="s">
        <v>4</v>
      </c>
      <c r="C9" s="7" t="str">
        <f aca="false">"Sep-26 to Dec-27 ("&amp;Assumptions!$C$12&amp;" scenario selected)"</f>
        <v>Sep-26 to Dec-27 (Base scenario selected)</v>
      </c>
    </row>
    <row r="10" customFormat="false" ht="15" hidden="false" customHeight="false" outlineLevel="0" collapsed="false">
      <c r="B10" s="5" t="s">
        <v>5</v>
      </c>
      <c r="C10" s="8" t="s">
        <v>6</v>
      </c>
    </row>
    <row r="11" customFormat="false" ht="15" hidden="false" customHeight="false" outlineLevel="0" collapsed="false">
      <c r="B11" s="5" t="s">
        <v>7</v>
      </c>
      <c r="C11" s="7" t="str">
        <f aca="false">Checks!E66</f>
        <v>OK</v>
      </c>
    </row>
    <row r="12" customFormat="false" ht="15" hidden="false" customHeight="false" outlineLevel="0" collapsed="false">
      <c r="B12" s="5" t="s">
        <v>8</v>
      </c>
      <c r="C12" s="9" t="n">
        <f aca="false">PL!$C$17</f>
        <v>7532111.18066571</v>
      </c>
    </row>
    <row r="13" customFormat="false" ht="15" hidden="false" customHeight="false" outlineLevel="0" collapsed="false">
      <c r="B13" s="5" t="s">
        <v>9</v>
      </c>
      <c r="C13" s="9" t="n">
        <f aca="false">PL!$C$45</f>
        <v>863221.588575057</v>
      </c>
    </row>
    <row r="14" customFormat="false" ht="15" hidden="false" customHeight="false" outlineLevel="0" collapsed="false">
      <c r="B14" s="5" t="s">
        <v>10</v>
      </c>
      <c r="C14" s="9" t="n">
        <f aca="false">INDEX(Contracts!$E$163:$AB$163,Assumptions!$C$10)</f>
        <v>236994.81</v>
      </c>
    </row>
    <row r="15" customFormat="false" ht="15" hidden="false" customHeight="false" outlineLevel="0" collapsed="false">
      <c r="B15" s="5" t="s">
        <v>11</v>
      </c>
      <c r="C15" s="9" t="n">
        <f aca="false">INDEX(BS!$E$9:$AB$9,Assumptions!$C$10)</f>
        <v>842052.882849998</v>
      </c>
    </row>
    <row r="16" customFormat="false" ht="15" hidden="false" customHeight="false" outlineLevel="0" collapsed="false">
      <c r="B16" s="5" t="s">
        <v>12</v>
      </c>
      <c r="C16" s="9" t="n">
        <f aca="false">Cash_13W!C78</f>
        <v>742457.440501413</v>
      </c>
    </row>
    <row r="17" customFormat="false" ht="23.85" hidden="false" customHeight="false" outlineLevel="0" collapsed="false">
      <c r="B17" s="5" t="s">
        <v>13</v>
      </c>
      <c r="C17" s="8" t="s">
        <v>14</v>
      </c>
    </row>
    <row r="19" customFormat="false" ht="15" hidden="false" customHeight="false" outlineLevel="0" collapsed="false">
      <c r="B19" s="10" t="s">
        <v>15</v>
      </c>
      <c r="C19" s="10" t="s">
        <v>16</v>
      </c>
      <c r="D19" s="10" t="s">
        <v>17</v>
      </c>
    </row>
    <row r="20" customFormat="false" ht="15" hidden="false" customHeight="false" outlineLevel="0" collapsed="false">
      <c r="B20" s="11" t="s">
        <v>18</v>
      </c>
      <c r="C20" s="12" t="s">
        <v>19</v>
      </c>
      <c r="D20" s="13" t="s">
        <v>20</v>
      </c>
    </row>
    <row r="21" customFormat="false" ht="15" hidden="false" customHeight="false" outlineLevel="0" collapsed="false">
      <c r="B21" s="11" t="s">
        <v>21</v>
      </c>
      <c r="C21" s="12" t="s">
        <v>22</v>
      </c>
      <c r="D21" s="13" t="s">
        <v>20</v>
      </c>
    </row>
    <row r="22" customFormat="false" ht="15" hidden="false" customHeight="false" outlineLevel="0" collapsed="false">
      <c r="B22" s="11" t="s">
        <v>23</v>
      </c>
      <c r="C22" s="12" t="s">
        <v>24</v>
      </c>
      <c r="D22" s="13" t="s">
        <v>25</v>
      </c>
    </row>
    <row r="23" customFormat="false" ht="15" hidden="false" customHeight="false" outlineLevel="0" collapsed="false">
      <c r="B23" s="11" t="s">
        <v>26</v>
      </c>
      <c r="C23" s="12" t="s">
        <v>27</v>
      </c>
      <c r="D23" s="13" t="s">
        <v>20</v>
      </c>
    </row>
    <row r="24" customFormat="false" ht="15" hidden="false" customHeight="false" outlineLevel="0" collapsed="false">
      <c r="B24" s="11" t="s">
        <v>28</v>
      </c>
      <c r="C24" s="12" t="s">
        <v>29</v>
      </c>
      <c r="D24" s="13" t="s">
        <v>20</v>
      </c>
    </row>
    <row r="25" customFormat="false" ht="15" hidden="false" customHeight="false" outlineLevel="0" collapsed="false">
      <c r="B25" s="11" t="s">
        <v>30</v>
      </c>
      <c r="C25" s="12" t="s">
        <v>31</v>
      </c>
      <c r="D25" s="13" t="s">
        <v>32</v>
      </c>
    </row>
    <row r="26" customFormat="false" ht="15" hidden="false" customHeight="false" outlineLevel="0" collapsed="false">
      <c r="B26" s="11" t="s">
        <v>33</v>
      </c>
      <c r="C26" s="12" t="s">
        <v>34</v>
      </c>
      <c r="D26" s="13" t="s">
        <v>32</v>
      </c>
    </row>
    <row r="27" customFormat="false" ht="15" hidden="false" customHeight="false" outlineLevel="0" collapsed="false">
      <c r="B27" s="11" t="s">
        <v>35</v>
      </c>
      <c r="C27" s="12" t="s">
        <v>36</v>
      </c>
      <c r="D27" s="13" t="s">
        <v>32</v>
      </c>
    </row>
    <row r="28" customFormat="false" ht="15" hidden="false" customHeight="false" outlineLevel="0" collapsed="false">
      <c r="B28" s="11" t="s">
        <v>37</v>
      </c>
      <c r="C28" s="12" t="s">
        <v>38</v>
      </c>
      <c r="D28" s="13" t="s">
        <v>39</v>
      </c>
    </row>
    <row r="29" customFormat="false" ht="15" hidden="false" customHeight="false" outlineLevel="0" collapsed="false">
      <c r="B29" s="11" t="s">
        <v>40</v>
      </c>
      <c r="C29" s="12" t="s">
        <v>41</v>
      </c>
      <c r="D29" s="13" t="s">
        <v>39</v>
      </c>
    </row>
    <row r="30" customFormat="false" ht="15" hidden="false" customHeight="false" outlineLevel="0" collapsed="false">
      <c r="B30" s="11" t="s">
        <v>42</v>
      </c>
      <c r="C30" s="12" t="s">
        <v>43</v>
      </c>
      <c r="D30" s="13" t="s">
        <v>39</v>
      </c>
    </row>
    <row r="31" customFormat="false" ht="15" hidden="false" customHeight="false" outlineLevel="0" collapsed="false">
      <c r="B31" s="11" t="s">
        <v>44</v>
      </c>
      <c r="C31" s="12" t="s">
        <v>45</v>
      </c>
      <c r="D31" s="13" t="s">
        <v>39</v>
      </c>
    </row>
    <row r="32" customFormat="false" ht="15" hidden="false" customHeight="false" outlineLevel="0" collapsed="false">
      <c r="B32" s="11" t="s">
        <v>46</v>
      </c>
      <c r="C32" s="12" t="s">
        <v>47</v>
      </c>
      <c r="D32" s="13" t="s">
        <v>48</v>
      </c>
    </row>
    <row r="33" customFormat="false" ht="15" hidden="false" customHeight="false" outlineLevel="0" collapsed="false">
      <c r="B33" s="11" t="s">
        <v>49</v>
      </c>
      <c r="C33" s="12" t="s">
        <v>50</v>
      </c>
      <c r="D33" s="13" t="s">
        <v>48</v>
      </c>
    </row>
    <row r="34" customFormat="false" ht="15" hidden="false" customHeight="false" outlineLevel="0" collapsed="false">
      <c r="B34" s="11" t="s">
        <v>51</v>
      </c>
      <c r="C34" s="12" t="s">
        <v>52</v>
      </c>
      <c r="D34" s="13" t="s">
        <v>48</v>
      </c>
    </row>
    <row r="35" customFormat="false" ht="15" hidden="false" customHeight="false" outlineLevel="0" collapsed="false">
      <c r="B35" s="11" t="s">
        <v>53</v>
      </c>
      <c r="C35" s="12" t="s">
        <v>54</v>
      </c>
      <c r="D35" s="13" t="s">
        <v>48</v>
      </c>
    </row>
    <row r="36" customFormat="false" ht="15" hidden="false" customHeight="false" outlineLevel="0" collapsed="false">
      <c r="B36" s="11" t="s">
        <v>55</v>
      </c>
      <c r="C36" s="12" t="s">
        <v>56</v>
      </c>
      <c r="D36" s="13" t="s">
        <v>48</v>
      </c>
    </row>
    <row r="37" customFormat="false" ht="15" hidden="false" customHeight="false" outlineLevel="0" collapsed="false">
      <c r="B37" s="11" t="s">
        <v>57</v>
      </c>
      <c r="C37" s="12" t="s">
        <v>58</v>
      </c>
      <c r="D37" s="13" t="s">
        <v>48</v>
      </c>
    </row>
    <row r="38" customFormat="false" ht="15" hidden="false" customHeight="false" outlineLevel="0" collapsed="false">
      <c r="B38" s="11" t="s">
        <v>59</v>
      </c>
      <c r="C38" s="12" t="s">
        <v>60</v>
      </c>
      <c r="D38" s="13" t="s">
        <v>39</v>
      </c>
    </row>
    <row r="39" customFormat="false" ht="15" hidden="false" customHeight="false" outlineLevel="0" collapsed="false">
      <c r="B39" s="11" t="s">
        <v>61</v>
      </c>
      <c r="C39" s="12" t="s">
        <v>62</v>
      </c>
      <c r="D39" s="13" t="s">
        <v>48</v>
      </c>
    </row>
    <row r="40" customFormat="false" ht="15" hidden="false" customHeight="false" outlineLevel="0" collapsed="false">
      <c r="B40" s="11" t="s">
        <v>63</v>
      </c>
      <c r="C40" s="12" t="s">
        <v>64</v>
      </c>
      <c r="D40" s="13" t="s">
        <v>48</v>
      </c>
    </row>
    <row r="41" customFormat="false" ht="15" hidden="false" customHeight="false" outlineLevel="0" collapsed="false">
      <c r="B41" s="11" t="s">
        <v>65</v>
      </c>
      <c r="C41" s="12" t="s">
        <v>66</v>
      </c>
      <c r="D41" s="13" t="s">
        <v>48</v>
      </c>
    </row>
    <row r="42" customFormat="false" ht="15" hidden="false" customHeight="false" outlineLevel="0" collapsed="false">
      <c r="B42" s="11" t="s">
        <v>67</v>
      </c>
      <c r="C42" s="12" t="s">
        <v>68</v>
      </c>
      <c r="D42" s="13" t="s">
        <v>48</v>
      </c>
    </row>
    <row r="43" customFormat="false" ht="15" hidden="false" customHeight="false" outlineLevel="0" collapsed="false">
      <c r="B43" s="11" t="s">
        <v>69</v>
      </c>
      <c r="C43" s="12" t="s">
        <v>70</v>
      </c>
      <c r="D43" s="13" t="s">
        <v>48</v>
      </c>
    </row>
    <row r="44" customFormat="false" ht="15" hidden="false" customHeight="false" outlineLevel="0" collapsed="false">
      <c r="B44" s="11" t="s">
        <v>71</v>
      </c>
      <c r="C44" s="12" t="s">
        <v>72</v>
      </c>
      <c r="D44" s="13" t="s">
        <v>48</v>
      </c>
    </row>
    <row r="45" customFormat="false" ht="15" hidden="false" customHeight="false" outlineLevel="0" collapsed="false">
      <c r="B45" s="11" t="s">
        <v>73</v>
      </c>
      <c r="C45" s="12" t="s">
        <v>74</v>
      </c>
      <c r="D45" s="13" t="s">
        <v>48</v>
      </c>
    </row>
    <row r="46" customFormat="false" ht="15" hidden="false" customHeight="false" outlineLevel="0" collapsed="false">
      <c r="B46" s="11" t="s">
        <v>75</v>
      </c>
      <c r="C46" s="12" t="s">
        <v>76</v>
      </c>
      <c r="D46" s="13" t="s">
        <v>48</v>
      </c>
    </row>
    <row r="47" customFormat="false" ht="15" hidden="false" customHeight="false" outlineLevel="0" collapsed="false">
      <c r="B47" s="11" t="s">
        <v>77</v>
      </c>
      <c r="C47" s="12" t="s">
        <v>78</v>
      </c>
      <c r="D47" s="13" t="s">
        <v>48</v>
      </c>
    </row>
    <row r="48" customFormat="false" ht="15" hidden="false" customHeight="false" outlineLevel="0" collapsed="false">
      <c r="B48" s="11" t="s">
        <v>79</v>
      </c>
      <c r="C48" s="12" t="s">
        <v>80</v>
      </c>
      <c r="D48" s="13" t="s">
        <v>48</v>
      </c>
    </row>
    <row r="49" customFormat="false" ht="15" hidden="false" customHeight="false" outlineLevel="0" collapsed="false">
      <c r="B49" s="11" t="s">
        <v>81</v>
      </c>
      <c r="C49" s="12" t="s">
        <v>82</v>
      </c>
      <c r="D49" s="13" t="s">
        <v>83</v>
      </c>
    </row>
    <row r="50" customFormat="false" ht="15" hidden="false" customHeight="false" outlineLevel="0" collapsed="false">
      <c r="B50" s="11" t="s">
        <v>84</v>
      </c>
      <c r="C50" s="12" t="s">
        <v>85</v>
      </c>
      <c r="D50" s="13" t="s">
        <v>83</v>
      </c>
    </row>
    <row r="51" customFormat="false" ht="15" hidden="false" customHeight="false" outlineLevel="0" collapsed="false">
      <c r="B51" s="11" t="s">
        <v>86</v>
      </c>
      <c r="C51" s="12" t="s">
        <v>87</v>
      </c>
      <c r="D51" s="13" t="s">
        <v>83</v>
      </c>
    </row>
    <row r="52" customFormat="false" ht="15" hidden="false" customHeight="false" outlineLevel="0" collapsed="false">
      <c r="B52" s="11" t="s">
        <v>88</v>
      </c>
      <c r="C52" s="12" t="s">
        <v>89</v>
      </c>
      <c r="D52" s="13" t="s">
        <v>83</v>
      </c>
    </row>
    <row r="53" customFormat="false" ht="15" hidden="false" customHeight="false" outlineLevel="0" collapsed="false">
      <c r="B53" s="11" t="s">
        <v>90</v>
      </c>
      <c r="C53" s="12" t="s">
        <v>91</v>
      </c>
      <c r="D53" s="13" t="s">
        <v>83</v>
      </c>
    </row>
    <row r="54" customFormat="false" ht="15" hidden="false" customHeight="false" outlineLevel="0" collapsed="false">
      <c r="B54" s="11" t="s">
        <v>92</v>
      </c>
      <c r="C54" s="12" t="s">
        <v>93</v>
      </c>
      <c r="D54" s="13" t="s">
        <v>83</v>
      </c>
    </row>
    <row r="56" customFormat="false" ht="15" hidden="false" customHeight="false" outlineLevel="0" collapsed="false">
      <c r="B56" s="5" t="s">
        <v>94</v>
      </c>
    </row>
    <row r="57" customFormat="false" ht="15" hidden="false" customHeight="false" outlineLevel="0" collapsed="false">
      <c r="B57" s="14" t="s">
        <v>95</v>
      </c>
    </row>
    <row r="58" customFormat="false" ht="15" hidden="false" customHeight="false" outlineLevel="0" collapsed="false">
      <c r="B58" s="15" t="s">
        <v>96</v>
      </c>
    </row>
    <row r="59" customFormat="false" ht="15" hidden="false" customHeight="false" outlineLevel="0" collapsed="false">
      <c r="B59" s="16" t="s">
        <v>97</v>
      </c>
    </row>
    <row r="60" customFormat="false" ht="15" hidden="false" customHeight="false" outlineLevel="0" collapsed="false">
      <c r="B60" s="17" t="s">
        <v>98</v>
      </c>
    </row>
    <row r="61" customFormat="false" ht="15" hidden="false" customHeight="false" outlineLevel="0" collapsed="false">
      <c r="B61" s="18" t="s">
        <v>99</v>
      </c>
    </row>
  </sheetData>
  <mergeCells count="1">
    <mergeCell ref="B6:E6"/>
  </mergeCells>
  <hyperlinks>
    <hyperlink ref="B20" r:id="rId1" location="'Cover'!A1" display="Cover"/>
    <hyperlink ref="B21" r:id="rId2" location="'Guide'!A1" display="Guide"/>
    <hyperlink ref="B22" r:id="rId3" location="'Checks'!A1" display="Checks"/>
    <hyperlink ref="B23" r:id="rId4" location="'CFO_Report'!A1" display="CFO_Report"/>
    <hyperlink ref="B24" r:id="rId5" location="'KPIs'!A1" display="KPIs"/>
    <hyperlink ref="B25" r:id="rId6" location="'PL'!A1" display="PL"/>
    <hyperlink ref="B26" r:id="rId7" location="'BS'!A1" display="BS"/>
    <hyperlink ref="B27" r:id="rId8" location="'CF'!A1" display="CF"/>
    <hyperlink ref="B28" r:id="rId9" location="'BvA'!A1" display="BvA"/>
    <hyperlink ref="B29" r:id="rId10" location="'Scenarios'!A1" display="Scenarios"/>
    <hyperlink ref="B30" r:id="rId11" location="'Cash_13W'!A1" display="Cash_13W"/>
    <hyperlink ref="B31" r:id="rId12" location="'Revenue'!A1" display="Revenue"/>
    <hyperlink ref="B32" r:id="rId13" location="'Contracts'!A1" display="Contracts"/>
    <hyperlink ref="B33" r:id="rId14" location="'Service_Desk'!A1" display="Service_Desk"/>
    <hyperlink ref="B34" r:id="rId15" location="'Projects'!A1" display="Projects"/>
    <hyperlink ref="B35" r:id="rId16" location="'Hardware'!A1" display="Hardware"/>
    <hyperlink ref="B36" r:id="rId17" location="'Licences'!A1" display="Licences"/>
    <hyperlink ref="B37" r:id="rId18" location="'Rebates'!A1" display="Rebates"/>
    <hyperlink ref="B38" r:id="rId19" location="'Margins'!A1" display="Margins"/>
    <hyperlink ref="B39" r:id="rId20" location="'People'!A1" display="People"/>
    <hyperlink ref="B40" r:id="rId21" location="'Receivables'!A1" display="Receivables"/>
    <hyperlink ref="B41" r:id="rId22" location="'AR_Aging'!A1" display="AR_Aging"/>
    <hyperlink ref="B42" r:id="rId23" location="'AP_Aging'!A1" display="AP_Aging"/>
    <hyperlink ref="B43" r:id="rId24" location="'Payables'!A1" display="Payables"/>
    <hyperlink ref="B44" r:id="rId25" location="'VAT'!A1" display="VAT"/>
    <hyperlink ref="B45" r:id="rId26" location="'Tax'!A1" display="Tax"/>
    <hyperlink ref="B46" r:id="rId27" location="'Overheads'!A1" display="Overheads"/>
    <hyperlink ref="B47" r:id="rId28" location="'Fixed_Assets'!A1" display="Fixed_Assets"/>
    <hyperlink ref="B48" r:id="rId29" location="'Financing'!A1" display="Financing"/>
    <hyperlink ref="B49" r:id="rId30" location="'Contract_Register'!A1" display="Contract_Register"/>
    <hyperlink ref="B50" r:id="rId31" location="'Project_Register'!A1" display="Project_Register"/>
    <hyperlink ref="B51" r:id="rId32" location="'Assumptions'!A1" display="Assumptions"/>
    <hyperlink ref="B52" r:id="rId33" location="'Inputs_Actuals'!A1" display="Inputs_Actuals"/>
    <hyperlink ref="B53" r:id="rId34" location="'History'!A1" display="History"/>
    <hyperlink ref="B54" r:id="rId35" location="'Budget_FY26'!A1" display="Budget_FY26"/>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5"/>
    <col collapsed="false" customWidth="true" hidden="false" outlineLevel="0" max="2" min="2" style="0" width="30"/>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100</v>
      </c>
    </row>
    <row r="4" customFormat="false" ht="15" hidden="false" customHeight="false" outlineLevel="0" collapsed="false">
      <c r="A4" s="21" t="s">
        <v>101</v>
      </c>
      <c r="B4" s="22"/>
    </row>
    <row r="5" customFormat="false" ht="105" hidden="false" customHeight="true" outlineLevel="0" collapsed="false">
      <c r="A5" s="23" t="s">
        <v>102</v>
      </c>
      <c r="B5" s="23"/>
    </row>
    <row r="6" customFormat="false" ht="45" hidden="false" customHeight="true" outlineLevel="0" collapsed="false">
      <c r="A6" s="23" t="s">
        <v>103</v>
      </c>
      <c r="B6" s="23"/>
    </row>
    <row r="8" customFormat="false" ht="15" hidden="false" customHeight="false" outlineLevel="0" collapsed="false">
      <c r="A8" s="21" t="s">
        <v>104</v>
      </c>
      <c r="B8" s="22"/>
    </row>
    <row r="9" customFormat="false" ht="75" hidden="false" customHeight="true" outlineLevel="0" collapsed="false">
      <c r="A9" s="23" t="s">
        <v>105</v>
      </c>
      <c r="B9" s="23"/>
    </row>
    <row r="10" customFormat="false" ht="60" hidden="false" customHeight="true" outlineLevel="0" collapsed="false">
      <c r="A10" s="23" t="s">
        <v>106</v>
      </c>
      <c r="B10" s="23"/>
    </row>
    <row r="11" customFormat="false" ht="45" hidden="false" customHeight="true" outlineLevel="0" collapsed="false">
      <c r="A11" s="23" t="s">
        <v>107</v>
      </c>
      <c r="B11" s="23"/>
    </row>
    <row r="12" customFormat="false" ht="30" hidden="false" customHeight="true" outlineLevel="0" collapsed="false">
      <c r="A12" s="23" t="s">
        <v>108</v>
      </c>
      <c r="B12" s="23"/>
    </row>
    <row r="14" customFormat="false" ht="15" hidden="false" customHeight="false" outlineLevel="0" collapsed="false">
      <c r="A14" s="21" t="s">
        <v>109</v>
      </c>
      <c r="B14" s="22"/>
    </row>
    <row r="15" customFormat="false" ht="60" hidden="false" customHeight="true" outlineLevel="0" collapsed="false">
      <c r="A15" s="23" t="s">
        <v>110</v>
      </c>
      <c r="B15" s="23"/>
    </row>
    <row r="16" customFormat="false" ht="45" hidden="false" customHeight="true" outlineLevel="0" collapsed="false">
      <c r="A16" s="23" t="s">
        <v>111</v>
      </c>
      <c r="B16" s="23"/>
    </row>
    <row r="17" customFormat="false" ht="105" hidden="false" customHeight="true" outlineLevel="0" collapsed="false">
      <c r="A17" s="23" t="s">
        <v>112</v>
      </c>
      <c r="B17" s="23"/>
    </row>
    <row r="18" customFormat="false" ht="75" hidden="false" customHeight="true" outlineLevel="0" collapsed="false">
      <c r="A18" s="23" t="s">
        <v>113</v>
      </c>
      <c r="B18" s="23"/>
    </row>
    <row r="19" customFormat="false" ht="75" hidden="false" customHeight="true" outlineLevel="0" collapsed="false">
      <c r="A19" s="23" t="s">
        <v>114</v>
      </c>
      <c r="B19" s="23"/>
    </row>
    <row r="21" customFormat="false" ht="15" hidden="false" customHeight="false" outlineLevel="0" collapsed="false">
      <c r="A21" s="21" t="s">
        <v>115</v>
      </c>
      <c r="B21" s="22"/>
    </row>
    <row r="22" customFormat="false" ht="75" hidden="false" customHeight="true" outlineLevel="0" collapsed="false">
      <c r="A22" s="23" t="s">
        <v>116</v>
      </c>
      <c r="B22" s="23"/>
    </row>
    <row r="23" customFormat="false" ht="60" hidden="false" customHeight="true" outlineLevel="0" collapsed="false">
      <c r="A23" s="23" t="s">
        <v>117</v>
      </c>
      <c r="B23" s="23"/>
    </row>
    <row r="24" customFormat="false" ht="30" hidden="false" customHeight="true" outlineLevel="0" collapsed="false">
      <c r="A24" s="23" t="s">
        <v>118</v>
      </c>
      <c r="B24" s="23"/>
    </row>
    <row r="26" customFormat="false" ht="15" hidden="false" customHeight="false" outlineLevel="0" collapsed="false">
      <c r="A26" s="21" t="s">
        <v>119</v>
      </c>
      <c r="B26" s="22"/>
    </row>
    <row r="27" customFormat="false" ht="75" hidden="false" customHeight="true" outlineLevel="0" collapsed="false">
      <c r="A27" s="23" t="s">
        <v>120</v>
      </c>
      <c r="B27" s="23"/>
    </row>
    <row r="28" customFormat="false" ht="75" hidden="false" customHeight="true" outlineLevel="0" collapsed="false">
      <c r="A28" s="23" t="s">
        <v>121</v>
      </c>
      <c r="B28" s="23"/>
    </row>
    <row r="29" customFormat="false" ht="105" hidden="false" customHeight="true" outlineLevel="0" collapsed="false">
      <c r="A29" s="23" t="s">
        <v>122</v>
      </c>
      <c r="B29" s="23"/>
    </row>
    <row r="30" customFormat="false" ht="30" hidden="false" customHeight="true" outlineLevel="0" collapsed="false">
      <c r="A30" s="23" t="s">
        <v>123</v>
      </c>
      <c r="B30" s="23"/>
    </row>
    <row r="32" customFormat="false" ht="15" hidden="false" customHeight="false" outlineLevel="0" collapsed="false">
      <c r="A32" s="21" t="s">
        <v>124</v>
      </c>
      <c r="B32" s="22"/>
    </row>
    <row r="33" customFormat="false" ht="30" hidden="false" customHeight="true" outlineLevel="0" collapsed="false">
      <c r="A33" s="23" t="s">
        <v>125</v>
      </c>
      <c r="B33" s="23"/>
    </row>
    <row r="34" customFormat="false" ht="30" hidden="false" customHeight="true" outlineLevel="0" collapsed="false">
      <c r="A34" s="23" t="s">
        <v>126</v>
      </c>
      <c r="B34" s="23"/>
    </row>
    <row r="35" customFormat="false" ht="30" hidden="false" customHeight="true" outlineLevel="0" collapsed="false">
      <c r="A35" s="23" t="s">
        <v>127</v>
      </c>
      <c r="B35" s="23"/>
    </row>
    <row r="36" customFormat="false" ht="30" hidden="false" customHeight="true" outlineLevel="0" collapsed="false">
      <c r="A36" s="23" t="s">
        <v>128</v>
      </c>
      <c r="B36" s="23"/>
    </row>
    <row r="38" customFormat="false" ht="15" hidden="false" customHeight="false" outlineLevel="0" collapsed="false">
      <c r="A38" s="21" t="s">
        <v>129</v>
      </c>
      <c r="B38" s="22"/>
    </row>
    <row r="39" customFormat="false" ht="60" hidden="false" customHeight="true" outlineLevel="0" collapsed="false">
      <c r="A39" s="23" t="s">
        <v>130</v>
      </c>
      <c r="B39" s="23"/>
    </row>
    <row r="40" customFormat="false" ht="30" hidden="false" customHeight="true" outlineLevel="0" collapsed="false">
      <c r="A40" s="23" t="s">
        <v>131</v>
      </c>
      <c r="B40" s="23"/>
    </row>
    <row r="41" customFormat="false" ht="30" hidden="false" customHeight="true" outlineLevel="0" collapsed="false">
      <c r="A41" s="23" t="s">
        <v>132</v>
      </c>
      <c r="B41" s="23"/>
    </row>
    <row r="42" customFormat="false" ht="30" hidden="false" customHeight="true" outlineLevel="0" collapsed="false">
      <c r="A42" s="23" t="s">
        <v>133</v>
      </c>
      <c r="B42" s="23"/>
    </row>
    <row r="43" customFormat="false" ht="30" hidden="false" customHeight="true" outlineLevel="0" collapsed="false">
      <c r="A43" s="23" t="s">
        <v>134</v>
      </c>
      <c r="B43" s="23"/>
    </row>
    <row r="45" customFormat="false" ht="15" hidden="false" customHeight="false" outlineLevel="0" collapsed="false">
      <c r="A45" s="21" t="s">
        <v>135</v>
      </c>
      <c r="B45" s="22"/>
    </row>
    <row r="46" customFormat="false" ht="45" hidden="false" customHeight="true" outlineLevel="0" collapsed="false">
      <c r="A46" s="23" t="s">
        <v>136</v>
      </c>
      <c r="B46" s="23"/>
    </row>
    <row r="48" customFormat="false" ht="15" hidden="false" customHeight="false" outlineLevel="0" collapsed="false">
      <c r="A48" s="21" t="s">
        <v>137</v>
      </c>
      <c r="B48" s="22"/>
    </row>
    <row r="49" customFormat="false" ht="45" hidden="false" customHeight="true" outlineLevel="0" collapsed="false">
      <c r="A49" s="23" t="s">
        <v>138</v>
      </c>
      <c r="B49" s="23"/>
    </row>
    <row r="50" customFormat="false" ht="30" hidden="false" customHeight="true" outlineLevel="0" collapsed="false">
      <c r="A50" s="23" t="s">
        <v>139</v>
      </c>
      <c r="B50" s="23"/>
    </row>
    <row r="51" customFormat="false" ht="30" hidden="false" customHeight="true" outlineLevel="0" collapsed="false">
      <c r="A51" s="23" t="s">
        <v>140</v>
      </c>
      <c r="B51" s="23"/>
    </row>
    <row r="52" customFormat="false" ht="15" hidden="false" customHeight="true" outlineLevel="0" collapsed="false">
      <c r="A52" s="23" t="s">
        <v>141</v>
      </c>
      <c r="B52" s="23"/>
    </row>
    <row r="54" customFormat="false" ht="15" hidden="false" customHeight="false" outlineLevel="0" collapsed="false">
      <c r="A54" s="21" t="s">
        <v>142</v>
      </c>
      <c r="B54" s="22"/>
    </row>
    <row r="55" customFormat="false" ht="30" hidden="false" customHeight="true" outlineLevel="0" collapsed="false">
      <c r="A55" s="23" t="s">
        <v>143</v>
      </c>
      <c r="B55" s="23"/>
    </row>
    <row r="56" customFormat="false" ht="30" hidden="false" customHeight="true" outlineLevel="0" collapsed="false">
      <c r="A56" s="23" t="s">
        <v>144</v>
      </c>
      <c r="B56" s="23"/>
    </row>
    <row r="57" customFormat="false" ht="15" hidden="false" customHeight="true" outlineLevel="0" collapsed="false">
      <c r="A57" s="23" t="s">
        <v>145</v>
      </c>
      <c r="B57" s="23"/>
    </row>
    <row r="58" customFormat="false" ht="15" hidden="false" customHeight="true" outlineLevel="0" collapsed="false">
      <c r="A58" s="23" t="s">
        <v>146</v>
      </c>
      <c r="B58" s="23"/>
    </row>
    <row r="59" customFormat="false" ht="30" hidden="false" customHeight="true" outlineLevel="0" collapsed="false">
      <c r="A59" s="23" t="s">
        <v>147</v>
      </c>
      <c r="B59" s="23"/>
    </row>
    <row r="60" customFormat="false" ht="15" hidden="false" customHeight="true" outlineLevel="0" collapsed="false">
      <c r="A60" s="23" t="s">
        <v>148</v>
      </c>
      <c r="B60" s="23"/>
    </row>
  </sheetData>
  <mergeCells count="38">
    <mergeCell ref="A5:B5"/>
    <mergeCell ref="A6:B6"/>
    <mergeCell ref="A9:B9"/>
    <mergeCell ref="A10:B10"/>
    <mergeCell ref="A11:B11"/>
    <mergeCell ref="A12:B12"/>
    <mergeCell ref="A15:B15"/>
    <mergeCell ref="A16:B16"/>
    <mergeCell ref="A17:B17"/>
    <mergeCell ref="A18:B18"/>
    <mergeCell ref="A19:B19"/>
    <mergeCell ref="A22:B22"/>
    <mergeCell ref="A23:B23"/>
    <mergeCell ref="A24:B24"/>
    <mergeCell ref="A27:B27"/>
    <mergeCell ref="A28:B28"/>
    <mergeCell ref="A29:B29"/>
    <mergeCell ref="A30:B30"/>
    <mergeCell ref="A33:B33"/>
    <mergeCell ref="A34:B34"/>
    <mergeCell ref="A35:B35"/>
    <mergeCell ref="A36:B36"/>
    <mergeCell ref="A39:B39"/>
    <mergeCell ref="A40:B40"/>
    <mergeCell ref="A41:B41"/>
    <mergeCell ref="A42:B42"/>
    <mergeCell ref="A43:B43"/>
    <mergeCell ref="A46:B46"/>
    <mergeCell ref="A49:B49"/>
    <mergeCell ref="A50:B50"/>
    <mergeCell ref="A51:B51"/>
    <mergeCell ref="A52:B52"/>
    <mergeCell ref="A55:B55"/>
    <mergeCell ref="A56:B56"/>
    <mergeCell ref="A57:B57"/>
    <mergeCell ref="A58:B58"/>
    <mergeCell ref="A59:B59"/>
    <mergeCell ref="A60:B6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7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0"/>
    <col collapsed="false" customWidth="true" hidden="false" outlineLevel="0" max="2" min="2" style="0" width="70"/>
    <col collapsed="false" customWidth="true" hidden="false" outlineLevel="0" max="3" min="3" style="0" width="16"/>
    <col collapsed="false" customWidth="true" hidden="false" outlineLevel="0" max="5" min="4" style="0" width="10"/>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149</v>
      </c>
    </row>
    <row r="3" customFormat="false" ht="15" hidden="false" customHeight="false" outlineLevel="0" collapsed="false">
      <c r="A3" s="24" t="s">
        <v>150</v>
      </c>
    </row>
    <row r="5" customFormat="false" ht="15" hidden="false" customHeight="false" outlineLevel="0" collapsed="false">
      <c r="A5" s="25" t="s">
        <v>151</v>
      </c>
      <c r="B5" s="26" t="s">
        <v>152</v>
      </c>
      <c r="C5" s="26" t="s">
        <v>153</v>
      </c>
      <c r="D5" s="26" t="s">
        <v>154</v>
      </c>
      <c r="E5" s="26" t="s">
        <v>155</v>
      </c>
    </row>
    <row r="6" customFormat="false" ht="15" hidden="false" customHeight="false" outlineLevel="0" collapsed="false">
      <c r="A6" s="21" t="s">
        <v>156</v>
      </c>
      <c r="B6" s="22"/>
      <c r="C6" s="22"/>
      <c r="D6" s="22"/>
      <c r="E6" s="22"/>
    </row>
    <row r="7" customFormat="false" ht="15" hidden="false" customHeight="false" outlineLevel="0" collapsed="false">
      <c r="A7" s="27" t="s">
        <v>157</v>
      </c>
      <c r="B7" s="13" t="s">
        <v>158</v>
      </c>
      <c r="C7" s="28" t="n">
        <f aca="false">SUMPRODUCT(ABS(BS!$E$53:$AB$53))</f>
        <v>0</v>
      </c>
      <c r="D7" s="29" t="n">
        <v>0.5</v>
      </c>
      <c r="E7" s="30" t="str">
        <f aca="false">IF(ABS(C7)&lt;=D7,"OK","CHECK")</f>
        <v>OK</v>
      </c>
    </row>
    <row r="8" customFormat="false" ht="15" hidden="false" customHeight="false" outlineLevel="0" collapsed="false">
      <c r="A8" s="27" t="s">
        <v>159</v>
      </c>
      <c r="B8" s="13" t="s">
        <v>160</v>
      </c>
      <c r="C8" s="28" t="n">
        <f aca="false">SUMPRODUCT(ABS(CF!$E$56:$AB$56))</f>
        <v>0.05</v>
      </c>
      <c r="D8" s="29" t="n">
        <v>0.5</v>
      </c>
      <c r="E8" s="30" t="str">
        <f aca="false">IF(ABS(C8)&lt;=D8,"OK","CHECK")</f>
        <v>OK</v>
      </c>
    </row>
    <row r="9" customFormat="false" ht="15" hidden="false" customHeight="false" outlineLevel="0" collapsed="false">
      <c r="A9" s="27" t="s">
        <v>161</v>
      </c>
      <c r="B9" s="13" t="s">
        <v>162</v>
      </c>
      <c r="C9" s="28" t="n">
        <f aca="false">SUMPRODUCT(ABS(CF!$E$31:$AB$31-BS!$E$9:$AB$9))</f>
        <v>0</v>
      </c>
      <c r="D9" s="29" t="n">
        <v>0.5</v>
      </c>
      <c r="E9" s="30" t="str">
        <f aca="false">IF(ABS(C9)&lt;=D9,"OK","CHECK")</f>
        <v>OK</v>
      </c>
    </row>
    <row r="10" customFormat="false" ht="15" hidden="false" customHeight="false" outlineLevel="0" collapsed="false">
      <c r="A10" s="27" t="s">
        <v>163</v>
      </c>
      <c r="B10" s="13" t="s">
        <v>164</v>
      </c>
      <c r="C10" s="28" t="n">
        <f aca="false">BS!AB50-(Inputs_Actuals!$C$314+SUM(BS!$E$48:$AB$48)+SUM(BS!$E$49:$AB$49))</f>
        <v>0</v>
      </c>
      <c r="D10" s="29" t="n">
        <v>0.5</v>
      </c>
      <c r="E10" s="30" t="str">
        <f aca="false">IF(ABS(C10)&lt;=D10,"OK","CHECK")</f>
        <v>OK</v>
      </c>
    </row>
    <row r="11" customFormat="false" ht="15" hidden="false" customHeight="false" outlineLevel="0" collapsed="false">
      <c r="A11" s="27" t="s">
        <v>165</v>
      </c>
      <c r="B11" s="13" t="s">
        <v>166</v>
      </c>
      <c r="C11" s="28" t="n">
        <f aca="false">ROUND((Inputs_Actuals!$C$278+Inputs_Actuals!$C$279+Inputs_Actuals!$C$280+Inputs_Actuals!$C$285+Inputs_Actuals!$C$281+Inputs_Actuals!$C$282+Inputs_Actuals!$C$283+Inputs_Actuals!$C$284+Inputs_Actuals!$C$286+Inputs_Actuals!$C$288+Inputs_Actuals!$C$290+Inputs_Actuals!$C$292-Inputs_Actuals!$C$287-Inputs_Actuals!$C$289-Inputs_Actuals!$C$291)-(Inputs_Actuals!$C$293+Inputs_Actuals!$C$294+Inputs_Actuals!$C$295+Inputs_Actuals!$C$296+Inputs_Actuals!$C$297+Inputs_Actuals!$C$298+Inputs_Actuals!$C$299+Inputs_Actuals!$C$300+Inputs_Actuals!$C$301+Inputs_Actuals!$C$302+Inputs_Actuals!$C$303+Inputs_Actuals!$C$304+Inputs_Actuals!$C$305+Inputs_Actuals!$C$306+Inputs_Actuals!$C$307+Inputs_Actuals!$C$308+Inputs_Actuals!$C$310+Inputs_Actuals!$C$311+Inputs_Actuals!$C$309)-Inputs_Actuals!$C$312-Inputs_Actuals!$C$313-Inputs_Actuals!$C$314,2)</f>
        <v>0</v>
      </c>
      <c r="D11" s="29" t="n">
        <v>0.5</v>
      </c>
      <c r="E11" s="30" t="str">
        <f aca="false">IF(ABS(C11)&lt;=D11,"OK","CHECK")</f>
        <v>OK</v>
      </c>
    </row>
    <row r="12" customFormat="false" ht="15" hidden="false" customHeight="false" outlineLevel="0" collapsed="false">
      <c r="A12" s="21" t="s">
        <v>167</v>
      </c>
      <c r="B12" s="22"/>
      <c r="C12" s="22"/>
      <c r="D12" s="22"/>
      <c r="E12" s="22"/>
    </row>
    <row r="13" customFormat="false" ht="15" hidden="false" customHeight="false" outlineLevel="0" collapsed="false">
      <c r="A13" s="27" t="s">
        <v>168</v>
      </c>
      <c r="B13" s="13" t="s">
        <v>162</v>
      </c>
      <c r="C13" s="28" t="n">
        <f aca="false">SUMPRODUCT(ABS(PL!$E$17:$AB$17-Revenue!$E$17:$AB$17))</f>
        <v>0</v>
      </c>
      <c r="D13" s="29" t="n">
        <v>0.5</v>
      </c>
      <c r="E13" s="30" t="str">
        <f aca="false">IF(ABS(C13)&lt;=D13,"OK","CHECK")</f>
        <v>OK</v>
      </c>
    </row>
    <row r="14" customFormat="false" ht="15" hidden="false" customHeight="false" outlineLevel="0" collapsed="false">
      <c r="A14" s="27" t="s">
        <v>169</v>
      </c>
      <c r="B14" s="13" t="s">
        <v>170</v>
      </c>
      <c r="C14" s="28" t="n">
        <f aca="false">ROUND(SUMPRODUCT((Contract_Register!$G$7:$G$43&lt;=0)*(Contract_Register!$I$7:$I$43*Contract_Register!$K$7:$K$43+Contract_Register!$J$7:$J$43*Contract_Register!$L$7:$L$43))-History!$N$38,0)</f>
        <v>0</v>
      </c>
      <c r="D14" s="29" t="n">
        <v>0.5</v>
      </c>
      <c r="E14" s="30" t="str">
        <f aca="false">IF(ABS(C14)&lt;=D14,"OK","CHECK")</f>
        <v>OK</v>
      </c>
    </row>
    <row r="15" customFormat="false" ht="15" hidden="false" customHeight="false" outlineLevel="0" collapsed="false">
      <c r="A15" s="27" t="s">
        <v>171</v>
      </c>
      <c r="B15" s="13" t="s">
        <v>172</v>
      </c>
      <c r="C15" s="28" t="n">
        <f aca="false">SUMPRODUCT(ABS(Contracts!$E$183:$AB$183))</f>
        <v>0</v>
      </c>
      <c r="D15" s="29" t="n">
        <v>0.5</v>
      </c>
      <c r="E15" s="30" t="str">
        <f aca="false">IF(ABS(C15)&lt;=D15,"OK","CHECK")</f>
        <v>OK</v>
      </c>
    </row>
    <row r="16" customFormat="false" ht="15" hidden="false" customHeight="false" outlineLevel="0" collapsed="false">
      <c r="A16" s="27" t="s">
        <v>173</v>
      </c>
      <c r="B16" s="13" t="s">
        <v>174</v>
      </c>
      <c r="C16" s="28" t="n">
        <f aca="false">SUMPRODUCT(ABS(Licences!$E$16:$AB$16))</f>
        <v>0</v>
      </c>
      <c r="D16" s="29" t="n">
        <v>0.5</v>
      </c>
      <c r="E16" s="30" t="str">
        <f aca="false">IF(ABS(C16)&lt;=D16,"OK","CHECK")</f>
        <v>OK</v>
      </c>
    </row>
    <row r="17" customFormat="false" ht="15" hidden="false" customHeight="false" outlineLevel="0" collapsed="false">
      <c r="A17" s="27" t="s">
        <v>175</v>
      </c>
      <c r="B17" s="13" t="s">
        <v>176</v>
      </c>
      <c r="C17" s="28" t="n">
        <f aca="false">SUMPRODUCT(ABS(Licences!$E$20:$AB$20))</f>
        <v>0</v>
      </c>
      <c r="D17" s="29" t="n">
        <v>0.5</v>
      </c>
      <c r="E17" s="30" t="str">
        <f aca="false">IF(ABS(C17)&lt;=D17,"OK","CHECK")</f>
        <v>OK</v>
      </c>
    </row>
    <row r="18" customFormat="false" ht="15" hidden="false" customHeight="false" outlineLevel="0" collapsed="false">
      <c r="A18" s="27" t="s">
        <v>177</v>
      </c>
      <c r="B18" s="13" t="s">
        <v>178</v>
      </c>
      <c r="C18" s="28" t="n">
        <f aca="false">SUMPRODUCT(ABS(Service_Desk!$E$31:$AB$31))</f>
        <v>0</v>
      </c>
      <c r="D18" s="29" t="n">
        <v>0.5</v>
      </c>
      <c r="E18" s="30" t="str">
        <f aca="false">IF(ABS(C18)&lt;=D18,"OK","CHECK")</f>
        <v>OK</v>
      </c>
    </row>
    <row r="19" customFormat="false" ht="15" hidden="false" customHeight="false" outlineLevel="0" collapsed="false">
      <c r="A19" s="27" t="s">
        <v>179</v>
      </c>
      <c r="B19" s="13" t="s">
        <v>180</v>
      </c>
      <c r="C19" s="28" t="n">
        <f aca="false">SUMPRODUCT(ABS(Projects!$E$158:$AB$158))</f>
        <v>0</v>
      </c>
      <c r="D19" s="29" t="n">
        <v>0.5</v>
      </c>
      <c r="E19" s="30" t="str">
        <f aca="false">IF(ABS(C19)&lt;=D19,"OK","CHECK")</f>
        <v>OK</v>
      </c>
    </row>
    <row r="20" customFormat="false" ht="15" hidden="false" customHeight="false" outlineLevel="0" collapsed="false">
      <c r="A20" s="27" t="s">
        <v>181</v>
      </c>
      <c r="B20" s="13" t="s">
        <v>182</v>
      </c>
      <c r="C20" s="28" t="n">
        <f aca="false">ROUND(Inputs_Actuals!$C$298-Inputs_Actuals!$C$285-SUMPRODUCT(Project_Register!$P$7:$P$18-Project_Register!$O$7:$O$18),0)</f>
        <v>0</v>
      </c>
      <c r="D20" s="29" t="n">
        <v>0.5</v>
      </c>
      <c r="E20" s="30" t="str">
        <f aca="false">IF(ABS(C20)&lt;=D20,"OK","CHECK")</f>
        <v>OK</v>
      </c>
    </row>
    <row r="21" customFormat="false" ht="15" hidden="false" customHeight="false" outlineLevel="0" collapsed="false">
      <c r="A21" s="27" t="s">
        <v>183</v>
      </c>
      <c r="B21" s="13" t="s">
        <v>184</v>
      </c>
      <c r="C21" s="28" t="n">
        <f aca="false">SUMPRODUCT(ABS(Rebates!$E$26:$AB$26))</f>
        <v>0</v>
      </c>
      <c r="D21" s="29" t="n">
        <v>0.5</v>
      </c>
      <c r="E21" s="30" t="str">
        <f aca="false">IF(ABS(C21)&lt;=D21,"OK","CHECK")</f>
        <v>OK</v>
      </c>
    </row>
    <row r="22" customFormat="false" ht="15" hidden="false" customHeight="false" outlineLevel="0" collapsed="false">
      <c r="A22" s="21" t="s">
        <v>185</v>
      </c>
      <c r="B22" s="22"/>
      <c r="C22" s="22"/>
      <c r="D22" s="22"/>
      <c r="E22" s="22"/>
    </row>
    <row r="23" customFormat="false" ht="15" hidden="false" customHeight="false" outlineLevel="0" collapsed="false">
      <c r="A23" s="27" t="s">
        <v>186</v>
      </c>
      <c r="B23" s="13" t="s">
        <v>187</v>
      </c>
      <c r="C23" s="28" t="n">
        <f aca="false">SUMPRODUCT(ABS(Margins!$E$37:$AB$37))</f>
        <v>0</v>
      </c>
      <c r="D23" s="29" t="n">
        <v>0.5</v>
      </c>
      <c r="E23" s="30" t="str">
        <f aca="false">IF(ABS(C23)&lt;=D23,"OK","CHECK")</f>
        <v>OK</v>
      </c>
    </row>
    <row r="24" customFormat="false" ht="15" hidden="false" customHeight="false" outlineLevel="0" collapsed="false">
      <c r="A24" s="27" t="s">
        <v>188</v>
      </c>
      <c r="B24" s="13" t="s">
        <v>189</v>
      </c>
      <c r="C24" s="28" t="n">
        <f aca="false">ROUND(Contract_Register!$AF$44+Revenue!$C$11+Revenue!$C$10-Margins!$C$15,0)</f>
        <v>0</v>
      </c>
      <c r="D24" s="29" t="n">
        <v>0.5</v>
      </c>
      <c r="E24" s="30" t="str">
        <f aca="false">IF(ABS(C24)&lt;=D24,"OK","CHECK")</f>
        <v>OK</v>
      </c>
    </row>
    <row r="25" customFormat="false" ht="15" hidden="false" customHeight="false" outlineLevel="0" collapsed="false">
      <c r="A25" s="21" t="s">
        <v>190</v>
      </c>
      <c r="B25" s="22"/>
      <c r="C25" s="22"/>
      <c r="D25" s="22"/>
      <c r="E25" s="22"/>
    </row>
    <row r="26" customFormat="false" ht="15" hidden="false" customHeight="false" outlineLevel="0" collapsed="false">
      <c r="A26" s="27" t="s">
        <v>191</v>
      </c>
      <c r="B26" s="13" t="s">
        <v>192</v>
      </c>
      <c r="C26" s="28" t="n">
        <f aca="false">ROUND(SUMPRODUCT(ABS(People!$E$93:$AB$93-People!$E$99:$AB$99-People!$E$95:$AB$95-People!$E$96:$AB$96))+SUMPRODUCT(ABS(People!$E$110:$AB$110-People!$E$116:$AB$116-People!$E$112:$AB$112-People!$E$113:$AB$113))+SUMPRODUCT(ABS(People!$E$128:$AB$128-People!$E$134:$AB$134-People!$E$130:$AB$130-People!$E$131:$AB$131))+SUMPRODUCT(ABS(People!$E$145:$AB$145-People!$E$151:$AB$151-People!$E$147:$AB$147-People!$E$148:$AB$148)),0)</f>
        <v>0</v>
      </c>
      <c r="D26" s="29" t="n">
        <v>0.5</v>
      </c>
      <c r="E26" s="30" t="str">
        <f aca="false">IF(ABS(C26)&lt;=D26,"OK","CHECK")</f>
        <v>OK</v>
      </c>
    </row>
    <row r="27" customFormat="false" ht="15" hidden="false" customHeight="false" outlineLevel="0" collapsed="false">
      <c r="A27" s="27" t="s">
        <v>193</v>
      </c>
      <c r="B27" s="13" t="s">
        <v>194</v>
      </c>
      <c r="C27" s="28" t="n">
        <f aca="false">ROUND(SUMPRODUCT(ABS(People!$E$175:$AB$175-People!$E$173:$AB$173)*(Assumptions!$E$202:$AB$202="F")),0)</f>
        <v>0</v>
      </c>
      <c r="D27" s="29" t="n">
        <v>0.5</v>
      </c>
      <c r="E27" s="30" t="str">
        <f aca="false">IF(ABS(C27)&lt;=D27,"OK","CHECK")</f>
        <v>OK</v>
      </c>
    </row>
    <row r="28" customFormat="false" ht="15" hidden="false" customHeight="false" outlineLevel="0" collapsed="false">
      <c r="A28" s="27" t="s">
        <v>195</v>
      </c>
      <c r="B28" s="13" t="s">
        <v>194</v>
      </c>
      <c r="C28" s="28" t="n">
        <f aca="false">ROUND(SUMPRODUCT(ABS(People!$E$178:$AB$178-People!$E$176:$AB$176)*(Assumptions!$E$202:$AB$202="F")),0)</f>
        <v>0</v>
      </c>
      <c r="D28" s="29" t="n">
        <v>0.5</v>
      </c>
      <c r="E28" s="30" t="str">
        <f aca="false">IF(ABS(C28)&lt;=D28,"OK","CHECK")</f>
        <v>OK</v>
      </c>
    </row>
    <row r="29" customFormat="false" ht="15" hidden="false" customHeight="false" outlineLevel="0" collapsed="false">
      <c r="A29" s="27" t="s">
        <v>196</v>
      </c>
      <c r="B29" s="13" t="s">
        <v>197</v>
      </c>
      <c r="C29" s="28" t="n">
        <f aca="false">SUMPRODUCT(ABS(People!$E$162:$AB$162))</f>
        <v>0</v>
      </c>
      <c r="D29" s="29" t="n">
        <v>0.5</v>
      </c>
      <c r="E29" s="30" t="str">
        <f aca="false">IF(ABS(C29)&lt;=D29,"OK","CHECK")</f>
        <v>OK</v>
      </c>
    </row>
    <row r="30" customFormat="false" ht="15" hidden="false" customHeight="false" outlineLevel="0" collapsed="false">
      <c r="A30" s="27" t="s">
        <v>198</v>
      </c>
      <c r="B30" s="13" t="s">
        <v>199</v>
      </c>
      <c r="C30" s="28" t="n">
        <f aca="false">ROUND(Inputs_Actuals!$C$306-SUMPRODUCT(Assumptions!$E$61:$E$77,Assumptions!$D$61:$D$77)*2*(1+Assumptions!$C$37),0)</f>
        <v>0</v>
      </c>
      <c r="D30" s="29" t="n">
        <v>0.5</v>
      </c>
      <c r="E30" s="30" t="str">
        <f aca="false">IF(ABS(C30)&lt;=D30,"OK","CHECK")</f>
        <v>OK</v>
      </c>
    </row>
    <row r="31" customFormat="false" ht="15" hidden="false" customHeight="false" outlineLevel="0" collapsed="false">
      <c r="A31" s="27" t="s">
        <v>200</v>
      </c>
      <c r="B31" s="13" t="s">
        <v>201</v>
      </c>
      <c r="C31" s="31" t="n">
        <f aca="false">MIN(Assumptions!$D$61:$D$77)-Assumptions!$C$47</f>
        <v>230</v>
      </c>
      <c r="D31" s="29" t="n">
        <v>0</v>
      </c>
      <c r="E31" s="30" t="str">
        <f aca="false">IF(C31&gt;=-D31,"OK","CHECK")</f>
        <v>OK</v>
      </c>
    </row>
    <row r="32" customFormat="false" ht="15" hidden="false" customHeight="false" outlineLevel="0" collapsed="false">
      <c r="A32" s="21" t="s">
        <v>202</v>
      </c>
      <c r="B32" s="22"/>
      <c r="C32" s="22"/>
      <c r="D32" s="22"/>
      <c r="E32" s="22"/>
    </row>
    <row r="33" customFormat="false" ht="15" hidden="false" customHeight="false" outlineLevel="0" collapsed="false">
      <c r="A33" s="27" t="s">
        <v>203</v>
      </c>
      <c r="B33" s="13" t="s">
        <v>204</v>
      </c>
      <c r="C33" s="28" t="n">
        <f aca="false">SUMPRODUCT(ABS(VAT!$E$15:$AB$15))</f>
        <v>0</v>
      </c>
      <c r="D33" s="29" t="n">
        <v>0.5</v>
      </c>
      <c r="E33" s="30" t="str">
        <f aca="false">IF(ABS(C33)&lt;=D33,"OK","CHECK")</f>
        <v>OK</v>
      </c>
    </row>
    <row r="34" customFormat="false" ht="15" hidden="false" customHeight="false" outlineLevel="0" collapsed="false">
      <c r="A34" s="27" t="s">
        <v>205</v>
      </c>
      <c r="B34" s="13" t="s">
        <v>206</v>
      </c>
      <c r="C34" s="28" t="n">
        <f aca="false">ROUND(Tax!$C$19-(Tax!$C$13-Tax!$C$15),0)</f>
        <v>0</v>
      </c>
      <c r="D34" s="29" t="n">
        <v>0.5</v>
      </c>
      <c r="E34" s="30" t="str">
        <f aca="false">IF(ABS(C34)&lt;=D34,"OK","CHECK")</f>
        <v>OK</v>
      </c>
    </row>
    <row r="35" customFormat="false" ht="15" hidden="false" customHeight="false" outlineLevel="0" collapsed="false">
      <c r="A35" s="27" t="s">
        <v>207</v>
      </c>
      <c r="B35" s="13" t="s">
        <v>208</v>
      </c>
      <c r="C35" s="28" t="n">
        <f aca="false">ROUND(Tax!$D$19-(Tax!$D$13-Tax!$D$15),0)</f>
        <v>0</v>
      </c>
      <c r="D35" s="29" t="n">
        <v>0.5</v>
      </c>
      <c r="E35" s="30" t="str">
        <f aca="false">IF(ABS(C35)&lt;=D35,"OK","CHECK")</f>
        <v>OK</v>
      </c>
    </row>
    <row r="36" customFormat="false" ht="15" hidden="false" customHeight="false" outlineLevel="0" collapsed="false">
      <c r="A36" s="27" t="s">
        <v>209</v>
      </c>
      <c r="B36" s="13" t="s">
        <v>210</v>
      </c>
      <c r="C36" s="28" t="n">
        <f aca="false">ROUND(Tax!$C$13-(Assumptions!$C$24*MIN(Assumptions!$C$25,MAX(0,PL!$C$52))+Assumptions!$C$22*MAX(0,PL!$C$52-Assumptions!$C$25)+Assumptions!$C$26*MAX(0,PL!$C$52)),0)+ROUND(Tax!$D$13-(Assumptions!$C$24*MIN(Assumptions!$C$25,MAX(0,PL!$D$52))+Assumptions!$C$23*MAX(0,PL!$D$52-Assumptions!$C$25)+Assumptions!$C$26*MAX(0,PL!$D$52)),0)</f>
        <v>0</v>
      </c>
      <c r="D36" s="29" t="n">
        <v>0.5</v>
      </c>
      <c r="E36" s="30" t="str">
        <f aca="false">IF(ABS(C36)&lt;=D36,"OK","CHECK")</f>
        <v>OK</v>
      </c>
    </row>
    <row r="37" customFormat="false" ht="15" hidden="false" customHeight="false" outlineLevel="0" collapsed="false">
      <c r="A37" s="27" t="s">
        <v>211</v>
      </c>
      <c r="B37" s="13" t="s">
        <v>212</v>
      </c>
      <c r="C37" s="28" t="n">
        <f aca="false">ROUND(Tax!M15-Assumptions!$C$28*Assumptions!$C$27/3,0)+ROUND(Tax!$D$15-Assumptions!$C$28*Tax!$C$11,0)</f>
        <v>0</v>
      </c>
      <c r="D37" s="29" t="n">
        <v>0.5</v>
      </c>
      <c r="E37" s="30" t="str">
        <f aca="false">IF(ABS(C37)&lt;=D37,"OK","CHECK")</f>
        <v>OK</v>
      </c>
    </row>
    <row r="38" customFormat="false" ht="15" hidden="false" customHeight="false" outlineLevel="0" collapsed="false">
      <c r="A38" s="27" t="s">
        <v>213</v>
      </c>
      <c r="B38" s="13" t="s">
        <v>194</v>
      </c>
      <c r="C38" s="28" t="n">
        <f aca="false">ROUND(SUMPRODUCT(ABS(Overheads!$E$30:$AB$30-Overheads!$E$28:$AB$28)*(Assumptions!$E$202:$AB$202="F")),0)</f>
        <v>0</v>
      </c>
      <c r="D38" s="29" t="n">
        <v>0.5</v>
      </c>
      <c r="E38" s="30" t="str">
        <f aca="false">IF(ABS(C38)&lt;=D38,"OK","CHECK")</f>
        <v>OK</v>
      </c>
    </row>
    <row r="39" customFormat="false" ht="15" hidden="false" customHeight="false" outlineLevel="0" collapsed="false">
      <c r="A39" s="21" t="s">
        <v>214</v>
      </c>
      <c r="B39" s="22"/>
      <c r="C39" s="22"/>
      <c r="D39" s="22"/>
      <c r="E39" s="22"/>
    </row>
    <row r="40" customFormat="false" ht="15" hidden="false" customHeight="false" outlineLevel="0" collapsed="false">
      <c r="A40" s="27" t="s">
        <v>215</v>
      </c>
      <c r="B40" s="13" t="s">
        <v>216</v>
      </c>
      <c r="C40" s="28" t="n">
        <f aca="false">AR_Aging!H81</f>
        <v>-0</v>
      </c>
      <c r="D40" s="29" t="n">
        <v>0.5</v>
      </c>
      <c r="E40" s="30" t="str">
        <f aca="false">IF(ABS(C40)&lt;=D40,"OK","CHECK")</f>
        <v>OK</v>
      </c>
    </row>
    <row r="41" customFormat="false" ht="15" hidden="false" customHeight="false" outlineLevel="0" collapsed="false">
      <c r="A41" s="27" t="s">
        <v>217</v>
      </c>
      <c r="B41" s="13" t="s">
        <v>216</v>
      </c>
      <c r="C41" s="28" t="n">
        <f aca="false">AR_Aging!H82</f>
        <v>-0</v>
      </c>
      <c r="D41" s="29" t="n">
        <v>0.5</v>
      </c>
      <c r="E41" s="30" t="str">
        <f aca="false">IF(ABS(C41)&lt;=D41,"OK","CHECK")</f>
        <v>OK</v>
      </c>
    </row>
    <row r="42" customFormat="false" ht="15" hidden="false" customHeight="false" outlineLevel="0" collapsed="false">
      <c r="A42" s="27" t="s">
        <v>218</v>
      </c>
      <c r="B42" s="13"/>
      <c r="C42" s="28" t="n">
        <f aca="false">AP_Aging!H24</f>
        <v>-0</v>
      </c>
      <c r="D42" s="29" t="n">
        <v>0.5</v>
      </c>
      <c r="E42" s="30" t="str">
        <f aca="false">IF(ABS(C42)&lt;=D42,"OK","CHECK")</f>
        <v>OK</v>
      </c>
    </row>
    <row r="43" customFormat="false" ht="15" hidden="false" customHeight="false" outlineLevel="0" collapsed="false">
      <c r="A43" s="27" t="s">
        <v>219</v>
      </c>
      <c r="B43" s="13"/>
      <c r="C43" s="28" t="n">
        <f aca="false">AP_Aging!H25</f>
        <v>-0</v>
      </c>
      <c r="D43" s="29" t="n">
        <v>0.5</v>
      </c>
      <c r="E43" s="30" t="str">
        <f aca="false">IF(ABS(C43)&lt;=D43,"OK","CHECK")</f>
        <v>OK</v>
      </c>
    </row>
    <row r="44" customFormat="false" ht="15" hidden="false" customHeight="false" outlineLevel="0" collapsed="false">
      <c r="A44" s="27" t="s">
        <v>220</v>
      </c>
      <c r="B44" s="13"/>
      <c r="C44" s="28" t="n">
        <f aca="false">AP_Aging!H26</f>
        <v>-0</v>
      </c>
      <c r="D44" s="29" t="n">
        <v>0.5</v>
      </c>
      <c r="E44" s="30" t="str">
        <f aca="false">IF(ABS(C44)&lt;=D44,"OK","CHECK")</f>
        <v>OK</v>
      </c>
    </row>
    <row r="45" customFormat="false" ht="15" hidden="false" customHeight="false" outlineLevel="0" collapsed="false">
      <c r="A45" s="27" t="s">
        <v>221</v>
      </c>
      <c r="B45" s="13"/>
      <c r="C45" s="28" t="n">
        <f aca="false">AP_Aging!H27</f>
        <v>0</v>
      </c>
      <c r="D45" s="29" t="n">
        <v>0.5</v>
      </c>
      <c r="E45" s="30" t="str">
        <f aca="false">IF(ABS(C45)&lt;=D45,"OK","CHECK")</f>
        <v>OK</v>
      </c>
    </row>
    <row r="46" customFormat="false" ht="15" hidden="false" customHeight="false" outlineLevel="0" collapsed="false">
      <c r="A46" s="27" t="s">
        <v>222</v>
      </c>
      <c r="B46" s="13" t="s">
        <v>223</v>
      </c>
      <c r="C46" s="28" t="n">
        <f aca="false">ROUND(SUMPRODUCT(ABS(Receivables!$E$34:$AB$34-Receivables!$E$32:$AB$32)*(Assumptions!$E$202:$AB$202="F"))+SUMPRODUCT(ABS(Receivables!$E$42:$AB$42-Receivables!$E$37:$AB$37-Receivables!$E$36:$AB$36)*(Assumptions!$E$202:$AB$202="F")),0)</f>
        <v>0</v>
      </c>
      <c r="D46" s="29" t="n">
        <v>0.5</v>
      </c>
      <c r="E46" s="30" t="str">
        <f aca="false">IF(ABS(C46)&lt;=D46,"OK","CHECK")</f>
        <v>OK</v>
      </c>
    </row>
    <row r="47" customFormat="false" ht="15" hidden="false" customHeight="false" outlineLevel="0" collapsed="false">
      <c r="A47" s="27" t="s">
        <v>224</v>
      </c>
      <c r="B47" s="13" t="s">
        <v>225</v>
      </c>
      <c r="C47" s="28" t="n">
        <f aca="false">ROUND(SUMPRODUCT(ABS(Payables!$E$21:$AB$21-Payables!$E$18:$AB$18)),0)</f>
        <v>0</v>
      </c>
      <c r="D47" s="29" t="n">
        <v>0.5</v>
      </c>
      <c r="E47" s="30" t="str">
        <f aca="false">IF(ABS(C47)&lt;=D47,"OK","CHECK")</f>
        <v>OK</v>
      </c>
    </row>
    <row r="48" customFormat="false" ht="15" hidden="false" customHeight="false" outlineLevel="0" collapsed="false">
      <c r="A48" s="21" t="s">
        <v>226</v>
      </c>
      <c r="B48" s="22"/>
      <c r="C48" s="22"/>
      <c r="D48" s="22"/>
      <c r="E48" s="22"/>
    </row>
    <row r="49" customFormat="false" ht="15" hidden="false" customHeight="false" outlineLevel="0" collapsed="false">
      <c r="A49" s="27" t="s">
        <v>227</v>
      </c>
      <c r="B49" s="13" t="s">
        <v>228</v>
      </c>
      <c r="C49" s="28" t="n">
        <f aca="false">ROUND(Financing!AB12-(Inputs_Actuals!$C$309-SUM(Financing!$E$10:$AB$10)),0)</f>
        <v>0</v>
      </c>
      <c r="D49" s="29" t="n">
        <v>0.5</v>
      </c>
      <c r="E49" s="30" t="str">
        <f aca="false">IF(ABS(C49)&lt;=D49,"OK","CHECK")</f>
        <v>OK</v>
      </c>
    </row>
    <row r="50" customFormat="false" ht="15" hidden="false" customHeight="false" outlineLevel="0" collapsed="false">
      <c r="A50" s="27" t="s">
        <v>229</v>
      </c>
      <c r="B50" s="13" t="s">
        <v>230</v>
      </c>
      <c r="C50" s="28" t="n">
        <f aca="false">ROUND(ABS(Financing!$C$29)+ABS(Financing!$D$29)+ABS(Financing!$C$31)+ABS(Financing!$D$31),0)</f>
        <v>0</v>
      </c>
      <c r="D50" s="29" t="n">
        <v>0.5</v>
      </c>
      <c r="E50" s="30" t="str">
        <f aca="false">IF(ABS(C50)&lt;=D50,"OK","CHECK")</f>
        <v>OK</v>
      </c>
    </row>
    <row r="51" customFormat="false" ht="15" hidden="false" customHeight="false" outlineLevel="0" collapsed="false">
      <c r="A51" s="21" t="s">
        <v>231</v>
      </c>
      <c r="B51" s="22"/>
      <c r="C51" s="22"/>
      <c r="D51" s="22"/>
      <c r="E51" s="22"/>
    </row>
    <row r="52" customFormat="false" ht="15" hidden="false" customHeight="false" outlineLevel="0" collapsed="false">
      <c r="A52" s="27" t="s">
        <v>232</v>
      </c>
      <c r="B52" s="13" t="s">
        <v>233</v>
      </c>
      <c r="C52" s="28" t="n">
        <f aca="false">Cash_13W!C90</f>
        <v>0</v>
      </c>
      <c r="D52" s="29" t="n">
        <v>0.5</v>
      </c>
      <c r="E52" s="30" t="str">
        <f aca="false">IF(ABS(C52)&lt;=D52,"OK","CHECK")</f>
        <v>OK</v>
      </c>
    </row>
    <row r="53" customFormat="false" ht="15" hidden="false" customHeight="false" outlineLevel="0" collapsed="false">
      <c r="A53" s="27" t="s">
        <v>234</v>
      </c>
      <c r="B53" s="13" t="s">
        <v>235</v>
      </c>
      <c r="C53" s="28" t="n">
        <f aca="false">Scenarios!G33</f>
        <v>0</v>
      </c>
      <c r="D53" s="29" t="n">
        <v>0.5</v>
      </c>
      <c r="E53" s="30" t="str">
        <f aca="false">IF(ABS(C53)&lt;=D53,"OK","CHECK")</f>
        <v>OK</v>
      </c>
    </row>
    <row r="54" customFormat="false" ht="15" hidden="false" customHeight="false" outlineLevel="0" collapsed="false">
      <c r="A54" s="27" t="s">
        <v>236</v>
      </c>
      <c r="B54" s="13" t="s">
        <v>237</v>
      </c>
      <c r="C54" s="28" t="n">
        <f aca="false">ABS(BvA!E72)+ABS(BvA!I72)</f>
        <v>0</v>
      </c>
      <c r="D54" s="29" t="n">
        <v>0.5</v>
      </c>
      <c r="E54" s="30" t="str">
        <f aca="false">IF(ABS(C54)&lt;=D54,"OK","CHECK")</f>
        <v>OK</v>
      </c>
    </row>
    <row r="55" customFormat="false" ht="15" hidden="false" customHeight="false" outlineLevel="0" collapsed="false">
      <c r="A55" s="27" t="s">
        <v>238</v>
      </c>
      <c r="B55" s="13" t="s">
        <v>239</v>
      </c>
      <c r="C55" s="28" t="n">
        <f aca="false">BvA!B92</f>
        <v>0</v>
      </c>
      <c r="D55" s="29" t="n">
        <v>0.5</v>
      </c>
      <c r="E55" s="30" t="str">
        <f aca="false">IF(ABS(C55)&lt;=D55,"OK","CHECK")</f>
        <v>OK</v>
      </c>
    </row>
    <row r="56" customFormat="false" ht="15" hidden="false" customHeight="false" outlineLevel="0" collapsed="false">
      <c r="A56" s="21" t="s">
        <v>240</v>
      </c>
      <c r="B56" s="22"/>
      <c r="C56" s="22"/>
      <c r="D56" s="22"/>
      <c r="E56" s="22"/>
    </row>
    <row r="57" customFormat="false" ht="15" hidden="false" customHeight="false" outlineLevel="0" collapsed="false">
      <c r="A57" s="27" t="s">
        <v>241</v>
      </c>
      <c r="B57" s="13"/>
      <c r="C57" s="28" t="n">
        <f aca="false">MIN(MIN(Receivables!$E$34:$AB$34),MIN(Receivables!$E$42:$AB$42))</f>
        <v>151155.232363671</v>
      </c>
      <c r="D57" s="29" t="n">
        <v>0.5</v>
      </c>
      <c r="E57" s="30" t="str">
        <f aca="false">IF(C57&gt;=-D57,"OK","CHECK")</f>
        <v>OK</v>
      </c>
    </row>
    <row r="58" customFormat="false" ht="15" hidden="false" customHeight="false" outlineLevel="0" collapsed="false">
      <c r="A58" s="27" t="s">
        <v>242</v>
      </c>
      <c r="B58" s="13"/>
      <c r="C58" s="28" t="n">
        <f aca="false">MIN(MIN(Payables!$E$11:$AB$11),MIN(Payables!$E$15:$AB$15),MIN(Payables!$E$21:$AB$21),MIN(Payables!$E$26:$AB$26))</f>
        <v>19237.6251060221</v>
      </c>
      <c r="D58" s="29" t="n">
        <v>0.5</v>
      </c>
      <c r="E58" s="30" t="str">
        <f aca="false">IF(C58&gt;=-D58,"OK","CHECK")</f>
        <v>OK</v>
      </c>
    </row>
    <row r="59" customFormat="false" ht="15" hidden="false" customHeight="false" outlineLevel="0" collapsed="false">
      <c r="A59" s="27" t="s">
        <v>243</v>
      </c>
      <c r="B59" s="13"/>
      <c r="C59" s="31" t="n">
        <f aca="false">MIN(MIN(Contracts!$E$9:$AB$45),MIN(Contracts!$E$47:$AB$83),MIN(Contracts!$E$123:$AB$159))</f>
        <v>0</v>
      </c>
      <c r="D59" s="29" t="n">
        <v>0.001</v>
      </c>
      <c r="E59" s="30" t="str">
        <f aca="false">IF(C59&gt;=-D59,"OK","CHECK")</f>
        <v>OK</v>
      </c>
    </row>
    <row r="60" customFormat="false" ht="15" hidden="false" customHeight="false" outlineLevel="0" collapsed="false">
      <c r="A60" s="27" t="s">
        <v>244</v>
      </c>
      <c r="B60" s="13"/>
      <c r="C60" s="31" t="n">
        <f aca="false">MIN(MIN(Projects!$E$9:$AB$20),MIN(Projects!$E$22:$AB$33),MIN(Projects!$E$139:$AB$150))</f>
        <v>0</v>
      </c>
      <c r="D60" s="29" t="n">
        <v>0.001</v>
      </c>
      <c r="E60" s="30" t="str">
        <f aca="false">IF(C60&gt;=-D60,"OK","CHECK")</f>
        <v>OK</v>
      </c>
    </row>
    <row r="61" customFormat="false" ht="15" hidden="false" customHeight="false" outlineLevel="0" collapsed="false">
      <c r="A61" s="27" t="s">
        <v>245</v>
      </c>
      <c r="B61" s="13"/>
      <c r="C61" s="28" t="n">
        <f aca="false">MIN(MIN(Licences!$E$14:$AB$14),MIN(Contracts!$E$181:$AB$181),MIN(Licences!$E$19:$AB$19),MIN(Hardware!$E$16:$AB$16))</f>
        <v>7468.75</v>
      </c>
      <c r="D61" s="29" t="n">
        <v>0.5</v>
      </c>
      <c r="E61" s="30" t="str">
        <f aca="false">IF(C61&gt;=-D61,"OK","CHECK")</f>
        <v>OK</v>
      </c>
    </row>
    <row r="62" customFormat="false" ht="15" hidden="false" customHeight="false" outlineLevel="0" collapsed="false">
      <c r="A62" s="27" t="s">
        <v>246</v>
      </c>
      <c r="B62" s="13"/>
      <c r="C62" s="31" t="n">
        <f aca="false">MIN(People!$E$9:$AB$25)</f>
        <v>0.97515625</v>
      </c>
      <c r="D62" s="29" t="n">
        <v>0</v>
      </c>
      <c r="E62" s="30" t="str">
        <f aca="false">IF(C62&gt;=-D62,"OK","CHECK")</f>
        <v>OK</v>
      </c>
    </row>
    <row r="63" customFormat="false" ht="15" hidden="false" customHeight="false" outlineLevel="0" collapsed="false">
      <c r="A63" s="27" t="s">
        <v>247</v>
      </c>
      <c r="B63" s="13"/>
      <c r="C63" s="31" t="n">
        <f aca="false">MIN(MIN(Fixed_Assets!$E$15:$AB$15),MIN(Fixed_Assets!$E$16:$AB$16),MIN(Financing!$E$12:$AB$12))</f>
        <v>86188.9521332141</v>
      </c>
      <c r="D63" s="29" t="n">
        <v>0</v>
      </c>
      <c r="E63" s="30" t="str">
        <f aca="false">IF(C63&gt;=-D63,"OK","CHECK")</f>
        <v>OK</v>
      </c>
    </row>
    <row r="64" customFormat="false" ht="15" hidden="false" customHeight="false" outlineLevel="0" collapsed="false">
      <c r="A64" s="27" t="s">
        <v>248</v>
      </c>
      <c r="B64" s="13"/>
      <c r="C64" s="28" t="n">
        <f aca="false">COUNTIF(Assumptions!$E$202:$AB$202,"A")-Assumptions!$C$10</f>
        <v>0</v>
      </c>
      <c r="D64" s="29" t="n">
        <v>0.5</v>
      </c>
      <c r="E64" s="30" t="str">
        <f aca="false">IF(ABS(C64)&lt;=D64,"OK","CHECK")</f>
        <v>OK</v>
      </c>
    </row>
    <row r="66" customFormat="false" ht="15" hidden="false" customHeight="false" outlineLevel="0" collapsed="false">
      <c r="A66" s="32" t="s">
        <v>249</v>
      </c>
      <c r="B66" s="33"/>
      <c r="C66" s="33"/>
      <c r="D66" s="33"/>
      <c r="E66" s="34" t="str">
        <f aca="false">IF(COUNTIF(E6:E64,"CHECK")=0,"OK","CHECK")</f>
        <v>OK</v>
      </c>
    </row>
    <row r="68" customFormat="false" ht="15" hidden="false" customHeight="false" outlineLevel="0" collapsed="false">
      <c r="A68" s="21" t="s">
        <v>250</v>
      </c>
      <c r="B68" s="22"/>
      <c r="C68" s="22"/>
      <c r="D68" s="22"/>
      <c r="E68" s="22"/>
    </row>
    <row r="69" customFormat="false" ht="15" hidden="false" customHeight="false" outlineLevel="0" collapsed="false">
      <c r="A69" s="0" t="s">
        <v>251</v>
      </c>
      <c r="B69" s="13" t="s">
        <v>252</v>
      </c>
      <c r="C69" s="35" t="n">
        <f aca="false">MIN(BS!M9:AB9)</f>
        <v>689023.011464358</v>
      </c>
    </row>
    <row r="70" customFormat="false" ht="15" hidden="false" customHeight="false" outlineLevel="0" collapsed="false">
      <c r="A70" s="0" t="s">
        <v>253</v>
      </c>
      <c r="B70" s="13" t="s">
        <v>254</v>
      </c>
      <c r="C70" s="35" t="n">
        <f aca="false">MIN(BS!M9:AB9)-Assumptions!$C$13</f>
        <v>289023.011464358</v>
      </c>
    </row>
    <row r="71" customFormat="false" ht="15" hidden="false" customHeight="false" outlineLevel="0" collapsed="false">
      <c r="A71" s="0" t="s">
        <v>255</v>
      </c>
      <c r="B71" s="13"/>
      <c r="C71" s="35" t="n">
        <f aca="false">Cash_13W!C78</f>
        <v>742457.440501413</v>
      </c>
    </row>
    <row r="72" customFormat="false" ht="15" hidden="false" customHeight="false" outlineLevel="0" collapsed="false">
      <c r="A72" s="0" t="s">
        <v>256</v>
      </c>
      <c r="B72" s="13" t="s">
        <v>257</v>
      </c>
      <c r="C72" s="36" t="n">
        <f aca="false">Financing!P20</f>
        <v>1.08826848164651</v>
      </c>
    </row>
    <row r="73" customFormat="false" ht="15" hidden="false" customHeight="false" outlineLevel="0" collapsed="false">
      <c r="A73" s="0" t="s">
        <v>258</v>
      </c>
      <c r="B73" s="13" t="s">
        <v>259</v>
      </c>
      <c r="C73" s="36" t="n">
        <f aca="false">Financing!P16</f>
        <v>0.226795204636823</v>
      </c>
    </row>
    <row r="74" customFormat="false" ht="15" hidden="false" customHeight="false" outlineLevel="0" collapsed="false">
      <c r="A74" s="0" t="s">
        <v>260</v>
      </c>
      <c r="B74" s="13" t="s">
        <v>261</v>
      </c>
      <c r="C74" s="37" t="n">
        <f aca="false">MAX(Service_Desk!M25:AB25)</f>
        <v>0.950506000379139</v>
      </c>
    </row>
    <row r="75" customFormat="false" ht="15" hidden="false" customHeight="false" outlineLevel="0" collapsed="false">
      <c r="A75" s="0" t="s">
        <v>262</v>
      </c>
      <c r="B75" s="13" t="s">
        <v>263</v>
      </c>
      <c r="C75" s="37" t="n">
        <f aca="false">Contracts!$D$175</f>
        <v>1.02766411588763</v>
      </c>
    </row>
    <row r="76" customFormat="false" ht="15" hidden="false" customHeight="false" outlineLevel="0" collapsed="false">
      <c r="A76" s="0" t="s">
        <v>264</v>
      </c>
      <c r="B76" s="13" t="s">
        <v>265</v>
      </c>
      <c r="C76" s="37" t="n">
        <f aca="false">MAX(Contract_Register!$AD$7:$AD$43)</f>
        <v>0.100201586832166</v>
      </c>
    </row>
    <row r="77" customFormat="false" ht="15" hidden="false" customHeight="false" outlineLevel="0" collapsed="false">
      <c r="A77" s="0" t="s">
        <v>266</v>
      </c>
      <c r="B77" s="13" t="s">
        <v>267</v>
      </c>
      <c r="C77" s="35" t="n">
        <f aca="false">INDEX(Receivables!$E$36:$AB$36,Assumptions!$C$10)</f>
        <v>21600</v>
      </c>
    </row>
    <row r="78" customFormat="false" ht="15" hidden="false" customHeight="false" outlineLevel="0" collapsed="false">
      <c r="A78" s="0" t="s">
        <v>268</v>
      </c>
      <c r="B78" s="13" t="s">
        <v>269</v>
      </c>
      <c r="C78" s="35" t="n">
        <f aca="false">INDEX(Projects!$E$159:$AB$159,Assumptions!$C$10)</f>
        <v>2507.14</v>
      </c>
    </row>
    <row r="79" customFormat="false" ht="15" hidden="false" customHeight="false" outlineLevel="0" collapsed="false">
      <c r="A79" s="0" t="s">
        <v>270</v>
      </c>
      <c r="B79" s="13" t="s">
        <v>271</v>
      </c>
      <c r="C79" s="38" t="n">
        <f aca="false">Rebates!M11</f>
        <v>0.015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20"/>
    <col collapsed="false" customWidth="true" hidden="false" outlineLevel="0" max="5" min="3" style="0" width="13"/>
    <col collapsed="false" customWidth="true" hidden="false" outlineLevel="0" max="6" min="6" style="0" width="46"/>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B2" s="20" t="s">
        <v>272</v>
      </c>
    </row>
    <row r="3" customFormat="false" ht="15" hidden="false" customHeight="false" outlineLevel="0" collapsed="false">
      <c r="B3" s="24" t="str">
        <f aca="false">"Reporting month: "&amp;TEXT(Assumptions!$C$9,"mmm-yy")&amp;" actuals, "&amp;Assumptions!$C$12&amp;" scenario for the outlook. Amounts in EUR. Every figure is a live link to the model; the narrative recalculates with the inputs."</f>
        <v>Reporting month: Aug-26 actuals, Base scenario for the outlook. Amounts in EUR. Every figure is a live link to the model; the narrative recalculates with the inputs.</v>
      </c>
    </row>
    <row r="4" customFormat="false" ht="15" hidden="false" customHeight="false" outlineLevel="0" collapsed="false">
      <c r="B4" s="39" t="s">
        <v>273</v>
      </c>
    </row>
    <row r="6" customFormat="false" ht="15" hidden="false" customHeight="true" outlineLevel="0" collapsed="false">
      <c r="B6" s="40" t="s">
        <v>274</v>
      </c>
      <c r="C6" s="41"/>
      <c r="D6" s="41"/>
      <c r="E6" s="41"/>
      <c r="F6" s="41"/>
    </row>
    <row r="7" customFormat="false" ht="70.5" hidden="false" customHeight="true" outlineLevel="0" collapsed="false">
      <c r="B7" s="42" t="str">
        <f aca="false">"Year to date revenue is EUR "&amp;TEXT((BvA!B15)/1000,"#,##0")&amp;"k, "&amp;IF((BvA!B15/SUMIFS(History!$C$15:$N$15,Assumptions!$E$201:$P$201,"&lt;="&amp;Assumptions!$C$10)-1)&gt;=0,"up "&amp;TEXT((BvA!B15/SUMIFS(History!$C$15:$N$15,Assumptions!$E$201:$P$201,"&lt;="&amp;Assumptions!$C$10)-1),"0.0%"),"down "&amp;TEXT(ABS((BvA!B15/SUMIFS(History!$C$15:$N$15,Assumptions!$E$201:$P$201,"&lt;="&amp;Assumptions!$C$10)-1)),"0.0%"))&amp;" on the same months of 2025 and "&amp;TEXT((ABS(BvA!E15)),"0.0%")&amp;" below budget, with EBITDA of EUR "&amp;TEXT((BvA!B41)/1000,"#,##0")&amp;"k against EUR "&amp;TEXT((BvA!C41)/1000,"#,##0")&amp;"k budgeted. Four things explain it. Hardware and projects are EUR "&amp;TEXT(ABS(BvA!E69)/1000,"#,##0")&amp;"k and EUR "&amp;TEXT(ABS(BvA!E70)/1000,"#,##0")&amp;"k of revenue below budget, after a strong 2025. Traslovia Transportes left at its April renewal (EUR "&amp;TEXT(ABS(BvA!E61)/1000,"#,##0")&amp;"k). Four people left the service desk between March and June and only two were replaced, so utilisation hit "&amp;TEXT((Service_Desk!$K$25),"0%")&amp;" in July and SLA credits cost EUR "&amp;TEXT((-SUMIFS(PL!$E$10:$AB$10,Assumptions!$E$202:$AB$202,"A"))/1000,"#,##0")&amp;"k against EUR "&amp;TEXT((-SUMIFS(Budget_FY26!$E$13:$P$13,Assumptions!$E$201:$P$201,"&lt;="&amp;Assumptions!$C$10))/1000,"#,##0")&amp;"k budgeted. And the J01 ERP migration needed a specialist subcontractor: subcontractors cost EUR "&amp;TEXT(ABS(BvA!D21)/1000,"#,##0")&amp;"k more than budgeted and the project turned loss-making in June."</f>
        <v>Year to date revenue is EUR 4,783k, down 10.6% on the same months of 2025 and 8.7% below budget, with EBITDA of EUR 479k against EUR 813k budgeted. Four things explain it. Hardware and projects are EUR 133k and EUR 240k of revenue below budget, after a strong 2025. Traslovia Transportes left at its April renewal (EUR 34k). Four people left the service desk between March and June and only two were replaced, so utilisation hit 98% in July and SLA credits cost EUR 38k against EUR 8k budgeted. And the J01 ERP migration needed a specialist subcontractor: subcontractors cost EUR 68k more than budgeted and the project turned loss-making in June.</v>
      </c>
    </row>
    <row r="8" customFormat="false" ht="43.5" hidden="false" customHeight="true" outlineLevel="0" collapsed="false">
      <c r="B8" s="42" t="str">
        <f aca="false">"Full-year outlook ("&amp;Assumptions!$C$12&amp;"): revenue EUR "&amp;TEXT((PL!$C$17)/1000,"#,##0")&amp;"k, "&amp;TEXT((ABS(BvA!I15)),"0.0%")&amp;" "&amp;IF(BvA!H15&gt;=0,"above budget","below budget")&amp;" and "&amp;IF((PL!$C$17/History!$O$15-1)&gt;=0,"up "&amp;TEXT((PL!$C$17/History!$O$15-1),"0.0%"),"down "&amp;TEXT(ABS((PL!$C$17/History!$O$15-1)),"0.0%"))&amp;" on FY2025; EBITDA EUR "&amp;TEXT((PL!$C$45)/1000,"#,##0")&amp;"k against EUR "&amp;TEXT((BvA!G41)/1000,"#,##0")&amp;"k budgeted and EUR "&amp;TEXT((History!$O$30)/1000,"#,##0")&amp;"k in FY2025. Managed service fees are EUR "&amp;TEXT((INDEX(Contracts!$E$163:$AB$163,Assumptions!$C$10))/1000,"#,##0")&amp;"k a month at "&amp;TEXT(Assumptions!$C$9,"mmm-yy")&amp;" and EUR "&amp;TEXT((Contracts!$P$163)/1000,"#,##0")&amp;"k by December, with the Venara hospital group tender included at its "&amp;TEXT((Contract_Register!$S$40),"0%")&amp;" win probability. Recurring revenue (managed services and annual licences) is "&amp;TEXT((Revenue!$C$24),"0%")&amp;" of FY2026 revenue."</f>
        <v>Full-year outlook (Base): revenue EUR 7,532k, 8.3% below budget and down 10.2% on FY2025; EBITDA EUR 863k against EUR 1,357k budgeted and EUR 1,340k in FY2025. Managed service fees are EUR 237k a month at Aug-26 and EUR 252k by December, with the Venara hospital group tender included at its 55% win probability. Recurring revenue (managed services and annual licences) is 53% of FY2026 revenue.</v>
      </c>
    </row>
    <row r="9" customFormat="false" ht="70.5" hidden="false" customHeight="true" outlineLevel="0" collapsed="false">
      <c r="B9" s="42" t="str">
        <f aca="false">"Cash is EUR "&amp;TEXT((INDEX(BS!$E$9:$AB$9,Assumptions!$C$10))/1000,"#,##0")&amp;"k at "&amp;TEXT(Assumptions!$C$9,"mmm-yy")&amp;" ("&amp;IF(BvA!D56&gt;=0,"EUR "&amp;TEXT((BvA!D56)/1000,"#,##0")&amp;"k more","EUR "&amp;TEXT(ABS(BvA!D56)/1000,"#,##0")&amp;"k less")&amp;" than budgeted) and the 13-week low is EUR "&amp;TEXT((Cash_13W!C78)/1000,"#,##0")&amp;"k in the week ending "&amp;TEXT(Cash_13W!C79,"d mmmm")&amp;", "&amp;IF(Cash_13W!C80&gt;=0,"EUR "&amp;TEXT((Cash_13W!C80)/1000,"#,##0")&amp;"k above "&amp;"the EUR "&amp;TEXT(Assumptions!$C$13/1000,"#,##0")&amp;"k buffer","EUR "&amp;TEXT(ABS(Cash_13W!C80)/1000,"#,##0")&amp;"k below "&amp;"the EUR "&amp;TEXT(Assumptions!$C$13/1000,"#,##0")&amp;"k buffer")&amp;". "&amp;IF(Cash_13W!C80&gt;=0,IF(Financing!$C$24&lt;Assumptions!$C$169,"The pressure point is the loan covenant, not liquidity.","Liquidity and the loan covenant are both inside their limits."),IF(Financing!$C$24&lt;Assumptions!$C$169,"Liquidity and the loan covenant both need action.","Liquidity needs action; the loan covenant holds."))&amp;" "&amp;IF(Financing!$C$24&lt;Assumptions!$C$169,"At the December test, debt service cover is "&amp;TEXT((Financing!$C$24),"0.00")&amp;"x"&amp;" if the December IRC payment on account is paid in full, against a "&amp;TEXT((Assumptions!$C$169),"0.00")&amp;"x"&amp;" minimum, because 2026 pays both the FY2025 IRC balance and payments on account set on the strong FY2025 profit. The July and September payments already "&amp;IF(Tax!$C$22&gt;=Tax!$C$20-1,"exceed","cover most of")&amp;" the FY2026 IRC now expected, so CIRC art. 107 lets the company limit the December payment: cover then "&amp;IF(Financing!$C$23&gt;=Assumptions!$C$169,"rises to "&amp;TEXT((Financing!$C$23),"0.00")&amp;"x"&amp;", inside the covenant, ","is "&amp;TEXT((Financing!$C$23),"0.00")&amp;"x"&amp;", still short, so a waiver is needed as well, ")&amp;"and EUR "&amp;TEXT((Tax!$C$22)/1000,"#,##0")&amp;"k stays in the bank","At the December test, debt service cover is "&amp;TEXT((Financing!$C$24),"0.00")&amp;"x"&amp;" with the December IRC payment on account paid in full, above the "&amp;TEXT((Assumptions!$C$169),"0.00")&amp;"x"&amp;" minimum; the July and September payments already "&amp;IF(Tax!$C$22&gt;=Tax!$C$20-1,"exceed","cover most of")&amp;" the FY2026 IRC now expected, so limiting the December payment under CIRC art. 107 would lift cover to "&amp;TEXT((Financing!$C$23),"0.00")&amp;"x"&amp;" and keep EUR "&amp;TEXT((Tax!$C$22)/1000,"#,##0")&amp;"k in the bank")&amp;IF(Assumptions!$C$29=1," (this case applies the limit).",".")</f>
        <v>Cash is EUR 842k at Aug-26 (EUR 36k less than budgeted) and the 13-week low is EUR 742k in the week ending 4 December, EUR 342k above the EUR 400k buffer. The pressure point is the loan covenant, not liquidity. At the December test, debt service cover is 1.09x if the December IRC payment on account is paid in full, against a 1.20x minimum, because 2026 pays both the FY2025 IRC balance and payments on account set on the strong FY2025 profit. The July and September payments already exceed the FY2026 IRC now expected, so CIRC art. 107 lets the company limit the December payment: cover then rises to 1.25x, inside the covenant, and EUR 73k stays in the bank.</v>
      </c>
    </row>
    <row r="10" customFormat="false" ht="43.5" hidden="false" customHeight="true" outlineLevel="0" collapsed="false">
      <c r="B10" s="42" t="str">
        <f aca="false">"Three decisions for this quarter: elect to limit the 15 December payment on account (EUR "&amp;TEXT((Tax!$C$22)/1000,"#,##0")&amp;"k) and brief the bank before the test; confirm the "&amp;TEXT((5*Assumptions!$F$188),"0")&amp;" service desk hires for October and November and phase the Venara onboarding over two months; and agree the renewal terms for Brevanor Têxteis, "&amp;TEXT((Contract_Register!$AD$7),"0.0%")&amp;" of managed services revenue, which renews in March 2027 while a competitor is courting its IT director."</f>
        <v>Three decisions for this quarter: elect to limit the 15 December payment on account (EUR 73k) and brief the bank before the test; confirm the 5 service desk hires for October and November and phase the Venara onboarding over two months; and agree the renewal terms for Brevanor Têxteis, 10.0% of managed services revenue, which renews in March 2027 while a competitor is courting its IT director.</v>
      </c>
    </row>
    <row r="11" customFormat="false" ht="15" hidden="false" customHeight="true" outlineLevel="0" collapsed="false">
      <c r="B11" s="40" t="s">
        <v>275</v>
      </c>
      <c r="C11" s="41"/>
      <c r="D11" s="41"/>
      <c r="E11" s="41"/>
      <c r="F11" s="41"/>
    </row>
    <row r="12" customFormat="false" ht="57" hidden="false" customHeight="true" outlineLevel="0" collapsed="false">
      <c r="B12" s="42" t="str">
        <f aca="false">"Revenue against budget by cause: Traslovia Transportes "&amp;IF(BvA!E61&gt;=0,"added EUR "&amp;TEXT((BvA!E61)/1000,"#,##0")&amp;"k","cost EUR "&amp;TEXT(ABS(BvA!E61)/1000,"#,##0")&amp;"k")&amp;"; the three contracts won in March, May and July, against four budgeted, "&amp;IF(BvA!E62&gt;=0,"added EUR "&amp;TEXT((BvA!E62)/1000,"#,##0")&amp;"k","cost EUR "&amp;TEXT(ABS(BvA!E62)/1000,"#,##0")&amp;"k")&amp;"; the contracts live at the start of the year "&amp;IF(BvA!E63&gt;=0,"added EUR "&amp;TEXT((BvA!E63)/1000,"#,##0")&amp;"k","cost EUR "&amp;TEXT(ABS(BvA!E63)/1000,"#,##0")&amp;"k")&amp;" (users, devices and price reviews on plan); SLA credits "&amp;IF(BvA!E64&gt;=0,"added EUR "&amp;TEXT((BvA!E64)/1000,"#,##0")&amp;"k","cost EUR "&amp;TEXT(ABS(BvA!E64)/1000,"#,##0")&amp;"k")&amp;"; bundled licences "&amp;IF(BvA!E66&gt;=0,"added EUR "&amp;TEXT((BvA!E66)/1000,"#,##0")&amp;"k","cost EUR "&amp;TEXT(ABS(BvA!E66)/1000,"#,##0")&amp;"k")&amp;"; annual licences "&amp;IF(BvA!E67&gt;=0,"added EUR "&amp;TEXT((BvA!E67)/1000,"#,##0")&amp;"k","cost EUR "&amp;TEXT(ABS(BvA!E67)/1000,"#,##0")&amp;"k")&amp;"; licences resold as agent "&amp;IF(BvA!E68&gt;=0,"added EUR "&amp;TEXT((BvA!E68)/1000,"#,##0")&amp;"k","cost EUR "&amp;TEXT(ABS(BvA!E68)/1000,"#,##0")&amp;"k")&amp;"; hardware "&amp;IF(BvA!E69&gt;=0,"added EUR "&amp;TEXT((BvA!E69)/1000,"#,##0")&amp;"k","cost EUR "&amp;TEXT(ABS(BvA!E69)/1000,"#,##0")&amp;"k")&amp;"; projects "&amp;IF(BvA!E70&gt;=0,"added EUR "&amp;TEXT((BvA!E70)/1000,"#,##0")&amp;"k","cost EUR "&amp;TEXT(ABS(BvA!E70)/1000,"#,##0")&amp;"k")&amp;"."</f>
        <v>Revenue against budget by cause: Traslovia Transportes cost EUR 34k; the three contracts won in March, May and July, against four budgeted, cost EUR 8k; the contracts live at the start of the year added EUR 1k (users, devices and price reviews on plan); SLA credits cost EUR 30k; bundled licences cost EUR 12k; annual licences added EUR 3k; licences resold as agent cost EUR 3k; hardware cost EUR 133k; projects cost EUR 240k.</v>
      </c>
    </row>
    <row r="13" customFormat="false" ht="70.5" hidden="false" customHeight="true" outlineLevel="0" collapsed="false">
      <c r="B13" s="42" t="str">
        <f aca="false">"EBITDA is EUR "&amp;TEXT(ABS(BvA!D41)/1000,"#,##0")&amp;"k behind budget. Hardware revenue is EUR "&amp;TEXT(ABS(BvA!D13)/1000,"#,##0")&amp;"k lower and its cost EUR "&amp;TEXT((BvA!D16)/1000,"#,##0")&amp;"k lower, a net EUR "&amp;TEXT(ABS(BvA!D13+BvA!D16)/1000,"#,##0")&amp;"k that includes the distributor rebate at tier 1 (1.5%) instead of the 2.5% budgeted. Projects are EUR "&amp;TEXT(ABS(BvA!D14)/1000,"#,##0")&amp;"k lower in revenue with subcontractors EUR "&amp;TEXT(ABS(BvA!D21)/1000,"#,##0")&amp;"k higher, almost all on J01. The service delivery payroll is EUR "&amp;TEXT((BvA!D23)/1000,"#,##0")&amp;"k under budget because the leavers were not replaced and the budgeted desk hires were not made ("&amp;TEXT((INDEX(People!$E$27:$AB$27,Assumptions!$C$10)),"0")&amp;" desk FTE at "&amp;TEXT(Assumptions!$C$9,"mmm-yy")&amp;" against "&amp;TEXT((INDEX(Budget_FY26!$E$63:$P$63,Assumptions!$C$10)),"0")&amp;" budgeted): that saving produced the SLA credits and two summer breaches at Pesqueras Morazal, which renews in December."</f>
        <v>EBITDA is EUR 334k behind budget. Hardware revenue is EUR 133k lower and its cost EUR 91k lower, a net EUR 42k that includes the distributor rebate at tier 1 (1.5%) instead of the 2.5% budgeted. Projects are EUR 240k lower in revenue with subcontractors EUR 68k higher, almost all on J01. The service delivery payroll is EUR 82k under budget because the leavers were not replaced and the budgeted desk hires were not made (37 desk FTE at Aug-26 against 43 budgeted): that saving produced the SLA credits and two summer breaches at Pesqueras Morazal, which renews in December.</v>
      </c>
    </row>
    <row r="14" customFormat="false" ht="15" hidden="false" customHeight="true" outlineLevel="0" collapsed="false">
      <c r="B14" s="40" t="s">
        <v>276</v>
      </c>
      <c r="C14" s="41"/>
      <c r="D14" s="41"/>
      <c r="E14" s="41"/>
      <c r="F14" s="41"/>
    </row>
    <row r="15" customFormat="false" ht="57" hidden="false" customHeight="true" outlineLevel="0" collapsed="false">
      <c r="B15" s="42" t="str">
        <f aca="false">"The contract base bills EUR "&amp;TEXT((INDEX(Contracts!$E$163:$AB$163,Assumptions!$C$10))/1000,"#,##0")&amp;"k a month at "&amp;TEXT(Assumptions!$C$9,"mmm-yy")&amp;" across "&amp;TEXT((INDEX(Contracts!$E$170:$AB$170,Assumptions!$C$10)),"0")&amp;" contracts, "&amp;TEXT((INDEX(Contracts!$E$161:$AB$161,Assumptions!$C$10)),"#,##0")&amp;" users and "&amp;TEXT((INDEX(Contracts!$E$162:$AB$162,Assumptions!$C$10)),"#,##0")&amp;" devices, EUR "&amp;TEXT((INDEX(Contracts!$E$169:$AB$169,Assumptions!$C$10)),"0.00")&amp;" a month per user with devices included. Net revenue retention over the last twelve months is "&amp;TEXT((INDEX(Contracts!$E$175:$AB$175,Assumptions!$C$10)),"0.0%")&amp;" and gross retention "&amp;TEXT((INDEX(Contracts!$E$176:$AB$176,Assumptions!$C$10)),"0.0%")&amp;": price reviews of "&amp;TEXT((Assumptions!$C$91),"0.0%")&amp;" at the anniversaries and user growth made up for Traslovia Transportes, which moved to a remote-only competitor at a lower price per user. Ferroval Automação, Clínica Dentária Rosmel and Mobiliário Tarvela started in March, May and July"&amp;" and bill EUR "&amp;TEXT((Contract_Register!$AA$37+Contract_Register!$AA$38+Contract_Register!$AA$39)/1000,"#,##0")&amp;"k a month."</f>
        <v>The contract base bills EUR 237k a month at Aug-26 across 32 contracts, 3,951 users and 1,225 devices, EUR 59.98 a month per user with devices included. Net revenue retention over the last twelve months is 100.9% and gross retention 96.2%: price reviews of 2.6% at the anniversaries and user growth made up for Traslovia Transportes, which moved to a remote-only competitor at a lower price per user. Ferroval Automação, Clínica Dentária Rosmel and Mobiliário Tarvela started in March, May and July and bill EUR 16k a month.</v>
      </c>
    </row>
    <row r="16" customFormat="false" ht="57" hidden="false" customHeight="true" outlineLevel="0" collapsed="false">
      <c r="B16" s="42" t="str">
        <f aca="false">"Renewals are the exposure: EUR "&amp;TEXT((12*SUM(Contracts!$M$173:$X$173))/1000,"#,##0")&amp;"k of annual fees reach their 36-month renewal in the next twelve months. They include Pesqueras Morazal in December (renewal probability "&amp;TEXT((Contract_Register!$S$35),"0%")&amp;" in this case, after two SLA breaches and a request for a lower price) and Brevanor Têxteis in March 2027 (EUR "&amp;TEXT(((12*Contract_Register!$AA$7))/1000,"#,##0")&amp;"k a year, "&amp;TEXT((Contract_Register!$S$7),"0%")&amp;"), where a regional competitor has approached the IT director while the J01 migration runs over. This case expects EUR "&amp;TEXT((12*SUM(Contracts!$M$174:$X$174))/1000,"#,##0")&amp;"k of those annual fees to be lost at renewal; net revenue retention is "&amp;TEXT((Contracts!$D$175),"0.0%")&amp;" at December 2027."</f>
        <v>Renewals are the exposure: EUR 1,304k of annual fees reach their 36-month renewal in the next twelve months. They include Pesqueras Morazal in December (renewal probability 88% in this case, after two SLA breaches and a request for a lower price) and Brevanor Têxteis in March 2027 (EUR 277k a year, 90%), where a regional competitor has approached the IT director while the J01 migration runs over. This case expects EUR 103k of those annual fees to be lost at renewal; net revenue retention is 102.8% at December 2027.</v>
      </c>
    </row>
    <row r="17" customFormat="false" ht="57" hidden="false" customHeight="true" outlineLevel="0" collapsed="false">
      <c r="B17" s="42" t="str">
        <f aca="false">"Pipeline: the Venara hospital group (480 users and 140 devices, EUR "&amp;TEXT(((12*(Contract_Register!$I$40*Contract_Register!$K$40+Contract_Register!$J$40*Contract_Register!$L$40)))/1000,"#,##0")&amp;"k of first-year fees at full value) decides in October for a November start and is in this case at "&amp;TEXT((Contract_Register!$S$40),"0%")&amp;"; three smaller opportunities follow in the first half of 2027. New contracts pay an onboarding fee of EUR "&amp;TEXT((Assumptions!$C$92),"0")&amp;" per user, recognised over the 36-month term (EUR "&amp;TEXT((INDEX(Contracts!$E$181:$AB$181,Assumptions!$C$10))/1000,"#,##0")&amp;"k deferred at "&amp;TEXT(Assumptions!$C$9,"mmm-yy")&amp;"). The "&amp;TEXT((Assumptions!$C$86),"0%")&amp;" sales commission on each new contract is capitalised with its social security and amortised over the same term (EUR "&amp;TEXT((INDEX(People!$E$169:$AB$169,Assumptions!$C$10))/1000,"#,##0")&amp;"k on the balance sheet)."</f>
        <v>Pipeline: the Venara hospital group (480 users and 140 devices, EUR 312k of first-year fees at full value) decides in October for a November start and is in this case at 55%; three smaller opportunities follow in the first half of 2027. New contracts pay an onboarding fee of EUR 45 per user, recognised over the 36-month term (EUR 16k deferred at Aug-26). The 6% sales commission on each new contract is capitalised with its social security and amortised over the same term (EUR 13k on the balance sheet).</v>
      </c>
    </row>
    <row r="18" customFormat="false" ht="15" hidden="false" customHeight="true" outlineLevel="0" collapsed="false">
      <c r="B18" s="40" t="s">
        <v>277</v>
      </c>
      <c r="C18" s="41"/>
      <c r="D18" s="41"/>
      <c r="E18" s="41"/>
      <c r="F18" s="41"/>
    </row>
    <row r="19" customFormat="false" ht="43.5" hidden="false" customHeight="true" outlineLevel="0" collapsed="false">
      <c r="B19" s="42" t="str">
        <f aca="false">"Utilisation reached "&amp;TEXT((Service_Desk!$K$25),"0%")&amp;" in July against about "&amp;TEXT((AVERAGEIFS(Budget_FY26!$E$62:$P$62,Assumptions!$E$201:$P$201,"&lt;="&amp;Assumptions!$C$10)),"0%")&amp;" budgeted. Above "&amp;TEXT((Assumptions!$C$114),"0%")&amp;" utilisation, SLA attainment falls: it was "&amp;TEXT((Service_Desk!$K$26),"0.0%")&amp;" in July against the 96% target, and SLA credits cost EUR "&amp;TEXT((-SUMIFS(PL!$E$10:$AB$10,Assumptions!$E$202:$AB$202,"A"))/1000,"#,##0")&amp;"k to "&amp;TEXT(Assumptions!$C$9,"mmm-yy")&amp;", "&amp;TEXT(((-SUMIFS(PL!$E$10:$AB$10,Assumptions!$E$202:$AB$202,"A")/SUMIFS(PL!$E$9:$AB$9,Assumptions!$E$202:$AB$202,"A"))),"0.0%")&amp;" of managed service fees. At "&amp;TEXT(Assumptions!$C$9,"mmm-yy")&amp;" the desk has "&amp;TEXT((INDEX(Service_Desk!$E$23:$AB$23,Assumptions!$C$10)),"0")&amp;" FTE against about "&amp;TEXT((INDEX(Service_Desk!$E$35:$AB$35,Assumptions!$C$10)),"0")&amp;" needed to bring utilisation back to "&amp;TEXT((Assumptions!$C$114),"0%")&amp;"."</f>
        <v>Utilisation reached 98% in July against about 81% budgeted. Above 80% utilisation, SLA attainment falls: it was 86.4% in July against the 96% target, and SLA credits cost EUR 38k to Aug-26, 2.1% of managed service fees. At Aug-26 the desk has 37 FTE against about 44 needed to bring utilisation back to 80%.</v>
      </c>
    </row>
    <row r="20" customFormat="false" ht="57" hidden="false" customHeight="true" outlineLevel="0" collapsed="false">
      <c r="B20" s="42" t="str">
        <f aca="false">"The plan adds "&amp;TEXT((5*Assumptions!$F$188),"0")&amp;" service desk hires in October and November and "&amp;TEXT((5*Assumptions!$F$188),"0")&amp;" more in 2027 ("&amp;TEXT((12*Assumptions!$F$188),"0")&amp;" hires across the company). A service desk analyst costs about EUR "&amp;TEXT(((Assumptions!$D$61*14*(1+Assumptions!$C$37)+Assumptions!$C$41*(Assumptions!$C$42*12-Assumptions!$C$43)+Assumptions!$C$45*12+Assumptions!$C$44*Assumptions!$D$61*14))/1000,"#,##0")&amp;"k a year with social security, meal card and insurance; in this case SLA credits fall to EUR "&amp;TEXT((Service_Desk!$D$28)/1000,"#,##0")&amp;"k in FY2027 at "&amp;TEXT((Service_Desk!$D$25),"0%")&amp;" utilisation. "&amp;IF(Contract_Register!$T$40&lt;=24,"The pinch point is "&amp;TEXT(INDEX(Assumptions!$E$200:$AB$200,MIN(24,Contract_Register!$T$40)),"mmmm yyyy")&amp;", when the Venara hospital group would start: its onboarding adds about "&amp;TEXT((INDEX(Service_Desk!$E$20:$AB$20,MIN(24,Contract_Register!$T$40))),"#,##0")&amp;" expected hours and utilisation reaches "&amp;TEXT((INDEX(Service_Desk!$E$25:$AB$25,MIN(24,Contract_Register!$T$40))),"0%")&amp;". Phasing the onboarding over two months, or two contract engineers for the month, keeps the desk close to its SLA.","")</f>
        <v>The plan adds 5 service desk hires in October and November and 5 more in 2027 (12 hires across the company). A service desk analyst costs about EUR 24k a year with social security, meal card and insurance; in this case SLA credits fall to EUR 4k in FY2027 at 81% utilisation. The pinch point is November 2026, when the Venara hospital group would start: its onboarding adds about 528 expected hours and utilisation reaches 95%. Phasing the onboarding over two months, or two contract engineers for the month, keeps the desk close to its SLA.</v>
      </c>
    </row>
    <row r="21" customFormat="false" ht="15" hidden="false" customHeight="true" outlineLevel="0" collapsed="false">
      <c r="B21" s="40" t="s">
        <v>278</v>
      </c>
      <c r="C21" s="41"/>
      <c r="D21" s="41"/>
      <c r="E21" s="41"/>
      <c r="F21" s="41"/>
    </row>
    <row r="22" customFormat="false" ht="57" hidden="false" customHeight="true" outlineLevel="0" collapsed="false">
      <c r="B22" s="42" t="str">
        <f aca="false">"J01, the ERP infrastructure and cloud migration for Brevanor Têxteis (fixed fee EUR "&amp;TEXT((Project_Register!$F$7)/1000,"#,##0")&amp;"k), needed a specialist data migration subcontractor. In June the estimate at completion rose from 2,050 to "&amp;TEXT((Project_Register!$K$7+Project_Register!$L$7),"#,##0")&amp;" hours, and the cumulative catch-up turned J01 revenue for the month into a reversal of EUR "&amp;TEXT(ABS(Projects!$J$74)/1000,"#,##0")&amp;"k (IFRS 15.88). At completion the project loses EUR "&amp;TEXT(ABS(Project_Register!$AC$7)/1000,"#,##0")&amp;"k at standard cost; the loss still ahead is provided under IAS 37 (EUR "&amp;TEXT((INDEX(Projects!$E$159:$AB$159,Assumptions!$C$10)),"#,##0")&amp;" at "&amp;TEXT(Assumptions!$C$9,"mmm-yy")&amp;"). This case "&amp;IF(Assumptions!$F$187&gt;0,"adds another "&amp;TEXT((Assumptions!$F$187),"0%")&amp;" to the remaining hours.","completes it on the revised estimate in November.")</f>
        <v>J01, the ERP infrastructure and cloud migration for Brevanor Têxteis (fixed fee EUR 158k), needed a specialist data migration subcontractor. In June the estimate at completion rose from 2,050 to 3,500 hours, and the cumulative catch-up turned J01 revenue for the month into a reversal of EUR 30k (IFRS 15.88). At completion the project loses EUR 17k at standard cost; the loss still ahead is provided under IAS 37 (EUR 2,507 at Aug-26). This case completes it on the revised estimate in November.</v>
      </c>
    </row>
    <row r="23" customFormat="false" ht="30" hidden="false" customHeight="true" outlineLevel="0" collapsed="false">
      <c r="B23" s="42" t="str">
        <f aca="false">"The J11 ERP hosting move for Talleres Brañoso is complete, but the customer is withholding the final milestone (EUR "&amp;TEXT((Assumptions!$C$142),"#,##0")&amp;") until the performance acceptance test is signed off; the rerun is booked for September. This case collects it in "&amp;TEXT(Assumptions!$F$196,"mmmm")&amp;IF(Assumptions!$F$197&gt;0," with "&amp;TEXT((Assumptions!$F$197),"0%")&amp;" credited."," in full.")</f>
        <v>The J11 ERP hosting move for Talleres Brañoso is complete, but the customer is withholding the final milestone (EUR 21,600) until the performance acceptance test is signed off; the rerun is booked for September. This case collects it in October in full.</v>
      </c>
    </row>
    <row r="24" customFormat="false" ht="70.5" hidden="false" customHeight="true" outlineLevel="0" collapsed="false">
      <c r="B24" s="42" t="str">
        <f aca="false">"Project revenue was EUR "&amp;TEXT((SUMIFS(PL!$E$16:$AB$16,Assumptions!$E$202:$AB$202,"A"))/1000,"#,##0")&amp;"k to "&amp;TEXT(Assumptions!$C$9,"mmm-yy")&amp;" against EUR "&amp;TEXT((SUMIFS(Budget_FY26!$E$19:$P$19,Assumptions!$E$201:$P$201,"&lt;="&amp;Assumptions!$C$10))/1000,"#,##0")&amp;"k budgeted, and the utilisation of the project team averaged "&amp;TEXT((AVERAGEIFS(Projects!$E$178:$AB$178,Assumptions!$E$202:$AB$202,"A")),"0%")&amp;" of its productive hours. Signed backlog is EUR "&amp;TEXT((INDEX(Projects!$E$161:$AB$161,Assumptions!$C$10))/1000,"#,##0")&amp;"k at "&amp;TEXT(Assumptions!$C$9,"mmm-yy")&amp;", mostly J08 (the store network upgrade signed in August) and the J01 remainder. From October this case tops signed work up to EUR "&amp;TEXT((Assumptions!$F$186)/1000,"#,##0")&amp;"k a month on the FY2025 seasonal profile, against EUR "&amp;TEXT((History!$O$14/12)/1000,"#,##0")&amp;"k a month in FY2025. That assumption carries the FY2027 project margin (EUR "&amp;TEXT((Margins!$D$33)/1000,"#,##0")&amp;"k): each EUR 10k a month of project revenue is worth about EUR "&amp;TEXT(((120000*(1-(1-Assumptions!$C$137)*Assumptions!$C$135/Assumptions!$C$136)))/1000,"#,##0")&amp;"k a year of margin, because the project team is already on the payroll."</f>
        <v>Project revenue was EUR 535k to Aug-26 against EUR 776k budgeted, and the utilisation of the project team averaged 61% of its productive hours. Signed backlog is EUR 237k at Aug-26, mostly J08 (the store network upgrade signed in August) and the J01 remainder. From October this case tops signed work up to EUR 90k a month on the FY2025 seasonal profile, against EUR 103k a month in FY2025. That assumption carries the FY2027 project margin (EUR 338k): each EUR 10k a month of project revenue is worth about EUR 106k a year of margin, because the project team is already on the payroll.</v>
      </c>
    </row>
    <row r="25" customFormat="false" ht="15" hidden="false" customHeight="true" outlineLevel="0" collapsed="false">
      <c r="B25" s="40" t="s">
        <v>279</v>
      </c>
      <c r="C25" s="41"/>
      <c r="D25" s="41"/>
      <c r="E25" s="41"/>
      <c r="F25" s="41"/>
    </row>
    <row r="26" customFormat="false" ht="70.5" hidden="false" customHeight="true" outlineLevel="0" collapsed="false">
      <c r="B26" s="42" t="str">
        <f aca="false">"Hardware: EUR "&amp;TEXT((SUMIFS(PL!$E$15:$AB$15,Assumptions!$E$202:$AB$202,"A"))/1000,"#,##0")&amp;"k to "&amp;TEXT(Assumptions!$C$9,"mmm-yy")&amp;" against EUR "&amp;TEXT((SUMIFS(Budget_FY26!$E$18:$P$18,Assumptions!$E$201:$P$201,"&lt;="&amp;Assumptions!$C$10))/1000,"#,##0")&amp;"k budgeted; 2025 was lifted by a desktop refresh cycle that has not repeated. The margin before rebates is "&amp;TEXT(((SUMIFS(Hardware!$E$10:$AB$10,Assumptions!$E$202:$AB$202,"A")/SUMIFS(Hardware!$E$8:$AB$8,Assumptions!$E$202:$AB$202,"A"))),"0.0%")&amp;" (13.3% budgeted). The distributor rebate is tiered on quarterly purchases and applies to the whole quarter: the first and second quarters reached only tier 1 (1.5%) against the 2.5% budgeted, and the third "&amp;IF(Rebates!$M$11&gt;0,"is on course for tier 1 with EUR "&amp;TEXT((Rebates!$M$10)/1000,"#,##0")&amp;"k of purchases. ","is at EUR "&amp;TEXT((Rebates!$M$10)/1000,"#,##0")&amp;"k of purchases, below the EUR "&amp;TEXT((Assumptions!$C$129)/1000,"#,##0")&amp;"k tier 1 threshold, so it earns no rebate. ")&amp;IF((Assumptions!$C$130-Rebates!$P$10)&gt;0,"The fourth quarter is forecast at EUR "&amp;TEXT((Rebates!$P$10)/1000,"#,##0")&amp;"k, EUR "&amp;TEXT(((Assumptions!$C$130-Rebates!$P$10))/1000,"#,##0")&amp;"k short of tier 2: "&amp;IF((Assumptions!$C$130-Rebates!$P$10)&lt;=0.15*Assumptions!$C$130,"bringing confirmed January orders into December would lift the whole quarter to "&amp;TEXT((Assumptions!$C$132),"0.0%")&amp;" and add about EUR "&amp;TEXT(((Assumptions!$C$130*Assumptions!$C$132-Rebates!$P$10*Rebates!$P$11))/1000,"#,##0")&amp;"k of rebate.","too far to close by bringing January orders forward"&amp;IF(Rebates!$P$10&gt;=Assumptions!$C$129,", so the quarter stays at tier 1.",", and below tier 1, so the quarter earns no rebate.")),"The fourth quarter is forecast at EUR "&amp;TEXT((Rebates!$P$10)/1000,"#,##0")&amp;"k of purchases, inside tier 2.")</f>
        <v>Hardware: EUR 1,575k to Aug-26 against EUR 1,708k budgeted; 2025 was lifted by a desktop refresh cycle that has not repeated. The margin before rebates is 12.8% (13.3% budgeted). The distributor rebate is tiered on quarterly purchases and applies to the whole quarter: the first and second quarters reached only tier 1 (1.5%) against the 2.5% budgeted, and the third is on course for tier 1 with EUR 497k of purchases. The fourth quarter is forecast at EUR 584k, EUR 66k short of tier 2: bringing confirmed January orders into December would lift the whole quarter to 2.5% and add about EUR 7k of rebate.</v>
      </c>
    </row>
    <row r="27" customFormat="false" ht="57" hidden="false" customHeight="true" outlineLevel="0" collapsed="false">
      <c r="B27" s="42" t="str">
        <f aca="false">"Licences: bundled per-user subscriptions and the annual security and backup subscriptions are sold as principal, because the company integrates, provisions and supports them; standard licences the manufacturer delivers directly are sold as"&amp;" agent, so EUR "&amp;TEXT((SUMIFS(Licences!$E$22:$AB$22,Assumptions!$E$202:$AB$202,"A"))/1000,"#,##0")&amp;"k billed to customers to "&amp;TEXT(Assumptions!$C$9,"mmm-yy")&amp;" produced EUR "&amp;TEXT((SUMIFS(Licences!$E$26:$AB$26,Assumptions!$E$202:$AB$202,"A"))/1000,"#,##0")&amp;"k of revenue. Annual subscriptions are billed a year ahead: EUR "&amp;TEXT((INDEX(Licences!$E$14:$AB$14,Assumptions!$C$10))/1000,"#,##0")&amp;"k of revenue sits in contract liabilities at "&amp;TEXT(Assumptions!$C$9,"mmm-yy")&amp;", matched by EUR "&amp;TEXT((INDEX(Licences!$E$19:$AB$19,Assumptions!$C$10))/1000,"#,##0")&amp;"k of prepaid vendor cost. January is the heavy month (EUR "&amp;TEXT((Licences!$E$12)/1000,"#,##0")&amp;"k billed in January 2026)."</f>
        <v>Licences: bundled per-user subscriptions and the annual security and backup subscriptions are sold as principal, because the company integrates, provisions and supports them; standard licences the manufacturer delivers directly are sold as agent, so EUR 438k billed to customers to Aug-26 produced EUR 62k of revenue. Annual subscriptions are billed a year ahead: EUR 149k of revenue sits in contract liabilities at Aug-26, matched by EUR 113k of prepaid vendor cost. January is the heavy month (EUR 244k billed in January 2026).</v>
      </c>
    </row>
    <row r="28" customFormat="false" ht="15" hidden="false" customHeight="true" outlineLevel="0" collapsed="false">
      <c r="B28" s="40" t="s">
        <v>280</v>
      </c>
      <c r="C28" s="41"/>
      <c r="D28" s="41"/>
      <c r="E28" s="41"/>
      <c r="F28" s="41"/>
    </row>
    <row r="29" customFormat="false" ht="43.5" hidden="false" customHeight="true" outlineLevel="0" collapsed="false">
      <c r="B29" s="42" t="str">
        <f aca="false">"Gross margin by service line, FY2026: managed services "&amp;TEXT((Margins!$C$16),"0%")&amp;", hardware after rebates "&amp;TEXT((Margins!$C$22),"0%")&amp;", licence resale "&amp;TEXT((Margins!$C$27),"0%")&amp;", projects "&amp;TEXT((Margins!$C$34),"0%")&amp;". Managed services earn "&amp;TEXT((Margins!$C$38),"0%")&amp;" of gross profit on "&amp;TEXT((PL!$C$57/PL!$C$17),"0%")&amp;" of revenue; hardware brings "&amp;TEXT((PL!$C$59/PL!$C$17),"0%")&amp;" of revenue but "&amp;TEXT((Margins!$C$21/Margins!$C$36),"0%")&amp;" of gross profit. In FY2027 the lines move to "&amp;TEXT((Margins!$D$16),"0%")&amp;", "&amp;TEXT((Margins!$D$22),"0%")&amp;", "&amp;TEXT((Margins!$D$27),"0%")&amp;" and "&amp;TEXT((Margins!$D$34),"0%")&amp;"."</f>
        <v>Gross margin by service line, FY2026: managed services 35%, hardware after rebates 14%, licence resale 41%, projects 25%. Managed services earn 61% of gross profit on 48% of revenue; hardware brings 33% of revenue but 17% of gross profit. In FY2027 the lines move to 35%, 14%, 40% and 31%.</v>
      </c>
    </row>
    <row r="30" customFormat="false" ht="57" hidden="false" customHeight="true" outlineLevel="0" collapsed="false">
      <c r="B30" s="42" t="str">
        <f aca="false">"By contract, FY2026 contribution after the service desk, tooling, licences, colocation and vans runs from "&amp;TEXT((MIN(Contract_Register!$AG$7:$AG$39)),"0%")&amp;" ("&amp;INDEX(Contract_Register!$B$7:$B$39,MATCH(MIN(Contract_Register!$AG$7:$AG$39),Contract_Register!$AG$7:$AG$39,0))&amp;") to "&amp;TEXT((MAX(Contract_Register!$AG$7:$AG$39)),"0%")&amp;" ("&amp;INDEX(Contract_Register!$B$7:$B$39,MATCH(MAX(Contract_Register!$AG$7:$AG$39),Contract_Register!$AG$7:$AG$39,0))&amp;"). Contribution follows price: the desk hours a user needs do not fall with the price per user, so the contracts priced lowest earn the least and are the first to reprice at renewal. Brevanor Têxteis is the largest contract at "&amp;TEXT((Contract_Register!$AD$7),"0.0%")&amp;" of managed services revenue with a contribution of "&amp;TEXT((Contract_Register!$AG$7),"0%")&amp;"."</f>
        <v>By contract, FY2026 contribution after the service desk, tooling, licences, colocation and vans runs from 21% (Colégios Maravel) to 48% (Valcorra Advogados). Contribution follows price: the desk hours a user needs do not fall with the price per user, so the contracts priced lowest earn the least and are the first to reprice at renewal. Brevanor Têxteis is the largest contract at 10.0% of managed services revenue with a contribution of 37%.</v>
      </c>
    </row>
    <row r="31" customFormat="false" ht="15" hidden="false" customHeight="true" outlineLevel="0" collapsed="false">
      <c r="B31" s="40" t="s">
        <v>281</v>
      </c>
      <c r="C31" s="41"/>
      <c r="D31" s="41"/>
      <c r="E31" s="41"/>
      <c r="F31" s="41"/>
    </row>
    <row r="32" customFormat="false" ht="57" hidden="false" customHeight="true" outlineLevel="0" collapsed="false">
      <c r="B32" s="42" t="str">
        <f aca="false">"The 13 weeks from "&amp;TEXT(Cash_13W!H7,"d mmmm")&amp;": opening cash EUR "&amp;TEXT((Cash_13W!C71)/1000,"#,##0")&amp;"k, receipts EUR "&amp;TEXT((Cash_13W!U52)/1000,"#,##0")&amp;"k, payments EUR "&amp;TEXT(ABS(Cash_13W!U68)/1000,"#,##0")&amp;"k, closing EUR "&amp;TEXT((Cash_13W!T72)/1000,"#,##0")&amp;"k on "&amp;TEXT(Cash_13W!T6,"d mmmm")&amp;". The low point is EUR "&amp;TEXT((Cash_13W!C78)/1000,"#,##0")&amp;"k in the week ending "&amp;TEXT(Cash_13W!C79,"d mmmm")&amp;", "&amp;IF(Cash_13W!C80&gt;=0,"EUR "&amp;TEXT((Cash_13W!C80)/1000,"#,##0")&amp;"k above "&amp;"the EUR "&amp;TEXT(Assumptions!$C$13/1000,"#,##0")&amp;"k buffer","EUR "&amp;TEXT(ABS(Cash_13W!C80)/1000,"#,##0")&amp;"k below "&amp;"the EUR "&amp;TEXT(Assumptions!$C$13/1000,"#,##0")&amp;"k buffer")&amp;", with the EUR "&amp;TEXT((Assumptions!$C$14)/1000,"#,##0")&amp;"k credit line undrawn. September pays two VAT returns on the 25th (June and July, EUR "&amp;TEXT((VAT!$M$13)/1000,"#,##0")&amp;"k) and the second IRC payment on account on the 30th (EUR "&amp;TEXT((Tax!$M$15)/1000,"#,##0")&amp;"k); November pays the Christmas allowance with the payroll (net pay EUR "&amp;TEXT((People!$O$179)/1000,"#,##0")&amp;"k against EUR "&amp;TEXT((People!$N$179)/1000,"#,##0")&amp;"k in October) and its social security falls on 21 December."</f>
        <v>The 13 weeks from 12 September: opening cash EUR 957k, receipts EUR 2,397k, payments EUR 2,523k, closing EUR 830k on 11 December. The low point is EUR 742k in the week ending 4 December, EUR 342k above the EUR 400k buffer, with the EUR 300k credit line undrawn. September pays two VAT returns on the 25th (June and July, EUR 87k) and the second IRC payment on account on the 30th (EUR 73k); November pays the Christmas allowance with the payroll (net pay EUR 196k against EUR 97k in October) and its social security falls on 21 December.</v>
      </c>
    </row>
    <row r="33" customFormat="false" ht="70.5" hidden="false" customHeight="true" outlineLevel="0" collapsed="false">
      <c r="B33" s="42" t="str">
        <f aca="false">"Tax: the FY2025 IRC balance of EUR "&amp;TEXT((Assumptions!$C$30)/1000,"#,##0")&amp;"k was paid on 19 June under the extended Modelo 22 deadline. FY2026 IRC is EUR "&amp;TEXT((Tax!$C$11)/1000,"#,##0")&amp;"k plus EUR "&amp;TEXT((Tax!$C$12)/1000,"#,##0")&amp;"k of derrama (19%, 15% on the first EUR 50,000, Porto 1.5%), against payments on account of EUR "&amp;TEXT((Tax!$C$15)/1000,"#,##0")&amp;"k in this case; any overpayment comes back around "&amp;TEXT(Assumptions!$C$31,"mmmm yyyy")&amp;". VAT is monthly, with June and July both paid in September. From 1 January 2027 PDF invoices need a qualified electronic signature and social security moves to the new payment window from the 1st to the 25th: both changes must be live in"&amp;" the billing and payroll systems before January."</f>
        <v>Tax: the FY2025 IRC balance of EUR 106k was paid on 19 June under the extended Modelo 22 deadline. FY2026 IRC is EUR 129k plus EUR 10k of derrama (19%, 15% on the first EUR 50,000, Porto 1.5%), against payments on account of EUR 219k in this case; any overpayment comes back around September 2027. VAT is monthly, with June and July both paid in September. From 1 January 2027 PDF invoices need a qualified electronic signature and social security moves to the new payment window from the 1st to the 25th: both changes must be live in the billing and payroll systems before January.</v>
      </c>
    </row>
    <row r="34" customFormat="false" ht="43.5" hidden="false" customHeight="true" outlineLevel="0" collapsed="false">
      <c r="B34" s="42" t="str">
        <f aca="false">"The bank loan is EUR "&amp;TEXT((INDEX(Financing!$E$12:$AB$12,Assumptions!$C$10))/1000,"#,##0")&amp;"k at "&amp;TEXT(Assumptions!$C$9,"mmm-yy")&amp;" and falls to EUR "&amp;TEXT((Financing!$D$12)/1000,"#,##0")&amp;"k by December 2027; net debt is "&amp;TEXT((Financing!$P$16),"0.00")&amp;"x"&amp;" EBITDA at December, well inside 2.5x, so debt service cover is the covenant that binds. Dividends may go out only when both covenants are met at the December test: this case "&amp;IF(Financing!$D$27&gt;0,"pays a dividend of "&amp;TEXT((Assumptions!$F$195),"0%")&amp;" of FY2026 profit in May 2027, EUR "&amp;TEXT((Financing!$D$27)/1000,"#,##0")&amp;"k to the shareholders after the 28% IRS withheld.",IF(Financing!P21="BREACH","pays no dividend in 2027 because the December test fails.","pays no dividend in 2027."))</f>
        <v>The bank loan is EUR 1,033k at Aug-26 and falls to EUR 500k by December 2027; net debt is 0.23x EBITDA at December, well inside 2.5x, so debt service cover is the covenant that binds. Dividends may go out only when both covenants are met at the December test: this case pays no dividend in 2027 because the December test fails.</v>
      </c>
    </row>
    <row r="35" customFormat="false" ht="15" hidden="false" customHeight="true" outlineLevel="0" collapsed="false">
      <c r="B35" s="40" t="s">
        <v>282</v>
      </c>
      <c r="C35" s="41"/>
      <c r="D35" s="41"/>
      <c r="E35" s="41"/>
      <c r="F35" s="41"/>
    </row>
    <row r="36" customFormat="false" ht="97.5" hidden="false" customHeight="true" outlineLevel="0" collapsed="false">
      <c r="B36" s="42" t="str">
        <f aca="false">"Base: FY2027 revenue EUR "&amp;TEXT((Scenarios!C10)/1000,"#,##0")&amp;"k ("&amp;IF(Scenarios!C11&gt;=0,TEXT(Scenarios!C11,"0.0%")&amp;" growth",TEXT(ABS(Scenarios!C11),"0.0%")&amp;" decline")&amp;"), EBITDA EUR "&amp;TEXT((Scenarios!C19)/1000,"#,##0")&amp;"k, cash EUR "&amp;TEXT((Scenarios!C23)/1000,"#,##0")&amp;"k at December 2027, debt service cover "&amp;TEXT((Scenarios!C28),"0.00")&amp;"x"&amp;" at December 2026 with the December payment on account paid in full. Downside (hardware demand x"&amp;TEXT((Assumptions!$D$182),"0.00")&amp;" with the margin at "&amp;TEXT((Assumptions!$D$183),"0.0%")&amp;", projects at EUR "&amp;TEXT((Assumptions!$D$186)/1000,"#,##0")&amp;"k a month, price reviews of "&amp;TEXT((Assumptions!$D$179),"0.0%")&amp;" and "&amp;TEXT((ABS(Assumptions!$D$180)),"0%")&amp;" off at renewal, renewals at lower probabilities including a "&amp;TEXT((1-Contract_Register!$Q$7),"0%")&amp;" chance of losing Brevanor Têxteis, the pipeline "&amp;TEXT((Assumptions!$D$181),"0")&amp;" months later, J01 "&amp;TEXT((Assumptions!$D$187),"0%")&amp;" over its remaining hours, customers "&amp;TEXT((Assumptions!$D$192),"0")&amp;" days slower, the dollar at "&amp;TEXT((Assumptions!$D$194),"0.00")&amp;"; response: a quarter of the hiring plan and of replacements held back): revenue EUR "&amp;TEXT((Scenarios!D10)/1000,"#,##0")&amp;"k, EBITDA EUR "&amp;TEXT((Scenarios!D19)/1000,"#,##0")&amp;"k, lowest cash EUR "&amp;TEXT((Scenarios!D24)/1000,"#,##0")&amp;"k in "&amp;TEXT(Scenarios!D25,"mmm-yy")&amp;" ("&amp;IF(Scenarios!D26&gt;=0,"EUR "&amp;TEXT((Scenarios!D26)/1000,"#,##0")&amp;"k above "&amp;"the EUR "&amp;TEXT(Assumptions!$C$13/1000,"#,##0")&amp;"k buffer","EUR "&amp;TEXT(ABS(Scenarios!D26)/1000,"#,##0")&amp;"k below "&amp;"the EUR "&amp;TEXT(Assumptions!$C$13/1000,"#,##0")&amp;"k buffer")&amp;"), debt service cover "&amp;TEXT((Scenarios!D28),"0.00")&amp;"x"&amp;" at December 2026 and "&amp;TEXT((Scenarios!D29),"0.00")&amp;"x"&amp;" at December 2027. Upside: revenue EUR "&amp;TEXT((Scenarios!E10)/1000,"#,##0")&amp;"k, EBITDA EUR "&amp;TEXT((Scenarios!E19)/1000,"#,##0")&amp;"k, cash EUR "&amp;TEXT((Scenarios!E23)/1000,"#,##0")&amp;"k, a dividend of EUR "&amp;TEXT((Scenarios!E30)/1000,"#,##0")&amp;"k in 2027."</f>
        <v>Base: FY2027 revenue EUR 8,204k (8.9% growth), EBITDA EUR 1,059k, cash EUR 1,204k at December 2027, debt service cover 1.09x at December 2026 with the December payment on account paid in full. Downside (hardware demand x0.85 with the margin at 11.5%, projects at EUR 65k a month, price reviews of 1.5% and 5% off at renewal, renewals at lower probabilities including a 50% chance of losing Brevanor Têxteis, the pipeline 2 months later, J01 20% over its remaining hours, customers 15 days slower, the dollar at 1.08; response: a quarter of the hiring plan and of replacements held back): revenue EUR 6,995k, EBITDA EUR 443k, lowest cash EUR 208k in Feb-27 (EUR 192k below the EUR 400k buffer), debt service cover 0.77x at December 2026 and 0.96x at December 2027. Upside: revenue EUR 8,915k, EBITDA EUR 1,478k, cash EUR 1,330k, a dividend of EUR 202k in 2027.</v>
      </c>
    </row>
    <row r="37" customFormat="false" ht="70.5" hidden="false" customHeight="true" outlineLevel="0" collapsed="false">
      <c r="B37" s="42" t="str">
        <f aca="false">"The Downside "&amp;IF(AND(Scenarios!D28&lt;Assumptions!$C$169,Scenarios!D29&lt;Assumptions!$C$169),"breaks the debt service covenant at both December tests",IF(OR(Scenarios!D28&lt;Assumptions!$C$169,Scenarios!D29&lt;Assumptions!$C$169),"breaks the debt service covenant at one December test","keeps both covenants"))&amp;" and its lowest cash is "&amp;IF(Scenarios!D26&gt;=0,"EUR "&amp;TEXT((Scenarios!D26)/1000,"#,##0")&amp;"k above "&amp;"the EUR "&amp;TEXT(Assumptions!$C$13/1000,"#,##0")&amp;"k buffer","EUR "&amp;TEXT(ABS(Scenarios!D26)/1000,"#,##0")&amp;"k below "&amp;"the EUR "&amp;TEXT(Assumptions!$C$13/1000,"#,##0")&amp;"k buffer")&amp;IF(Scenarios!D28&lt;Assumptions!$C$169,", so the waiver conversation with the bank starts before the December test.",".")&amp;" Triggers, reviewed monthly: service desk utilisation above 90% for two months; SLA credits above 2% of fees; a renewal lost among the ten largest contracts; hardware purchases in a quarter below EUR "&amp;TEXT((Assumptions!$C$129)/1000,"#,##0")&amp;"k (the rebate falls to nil); project revenue below EUR 70k in a month outside August; headroom over the buffer below EUR 200k on the 13-week forecast."</f>
        <v>The Downside breaks the debt service covenant at both December tests and its lowest cash is EUR 192k below the EUR 400k buffer, so the waiver conversation with the bank starts before the December test. Triggers, reviewed monthly: service desk utilisation above 90% for two months; SLA credits above 2% of fees; a renewal lost among the ten largest contracts; hardware purchases in a quarter below EUR 450k (the rebate falls to nil); project revenue below EUR 70k in a month outside August; headroom over the buffer below EUR 200k on the 13-week forecast.</v>
      </c>
    </row>
    <row r="38" customFormat="false" ht="15" hidden="false" customHeight="true" outlineLevel="0" collapsed="false">
      <c r="B38" s="40" t="s">
        <v>283</v>
      </c>
      <c r="C38" s="41"/>
      <c r="D38" s="41"/>
      <c r="E38" s="41"/>
      <c r="F38" s="41"/>
    </row>
    <row r="39" customFormat="false" ht="15" hidden="false" customHeight="true" outlineLevel="0" collapsed="false">
      <c r="B39" s="43" t="s">
        <v>284</v>
      </c>
      <c r="C39" s="44" t="s">
        <v>285</v>
      </c>
      <c r="D39" s="44" t="s">
        <v>286</v>
      </c>
      <c r="E39" s="44" t="s">
        <v>287</v>
      </c>
      <c r="F39" s="44" t="s">
        <v>288</v>
      </c>
    </row>
    <row r="40" customFormat="false" ht="43.5" hidden="false" customHeight="true" outlineLevel="0" collapsed="false">
      <c r="B40" s="42" t="str">
        <f aca="false">"Covenant: debt service cover at the December test is "&amp;TEXT((Financing!$C$24),"0.00")&amp;"x"&amp;" with the December payment on account paid in full and "&amp;TEXT((Financing!$C$23),"0.00")&amp;"x"&amp;" if it is limited, against "&amp;TEXT((Assumptions!$C$169),"0.00")&amp;"x"&amp;"; a breach lets the bank call the loan and blocks the 2027 dividend"</f>
        <v>Covenant: debt service cover at the December test is 1.09x with the December payment on account paid in full and 1.25x if it is limited, against 1.20x; a breach lets the bank call the loan and blocks the 2027 dividend</v>
      </c>
      <c r="C40" s="45" t="n">
        <v>4</v>
      </c>
      <c r="D40" s="45" t="n">
        <v>4</v>
      </c>
      <c r="E40" s="46" t="n">
        <f aca="false">C40*D40</f>
        <v>16</v>
      </c>
      <c r="F40" s="47" t="s">
        <v>289</v>
      </c>
    </row>
    <row r="41" customFormat="false" ht="43.5" hidden="false" customHeight="true" outlineLevel="0" collapsed="false">
      <c r="B41" s="42" t="str">
        <f aca="false">"Renewal of Brevanor Têxteis in March 2027: "&amp;TEXT((Contract_Register!$AD$7),"0.0%")&amp;" of managed services revenue, EUR "&amp;TEXT(((12*Contract_Register!$AA$7))/1000,"#,##0")&amp;"k a year, approached by a competitor during the J01 overrun"</f>
        <v>Renewal of Brevanor Têxteis in March 2027: 10.0% of managed services revenue, EUR 277k a year, approached by a competitor during the J01 overrun</v>
      </c>
      <c r="C41" s="45" t="n">
        <v>3</v>
      </c>
      <c r="D41" s="45" t="n">
        <v>5</v>
      </c>
      <c r="E41" s="46" t="n">
        <f aca="false">C41*D41</f>
        <v>15</v>
      </c>
      <c r="F41" s="47" t="s">
        <v>290</v>
      </c>
    </row>
    <row r="42" customFormat="false" ht="43.5" hidden="false" customHeight="true" outlineLevel="0" collapsed="false">
      <c r="B42" s="42" t="str">
        <f aca="false">"Service desk capacity: utilisation "&amp;TEXT((Service_Desk!$K$25),"0%")&amp;" in July, SLA credits EUR "&amp;TEXT((-SUMIFS(PL!$E$10:$AB$10,Assumptions!$E$202:$AB$202,"A"))/1000,"#,##0")&amp;"k year to date; Pesqueras Morazal renews in December after two breaches"</f>
        <v>Service desk capacity: utilisation 98% in July, SLA credits EUR 38k year to date; Pesqueras Morazal renews in December after two breaches</v>
      </c>
      <c r="C42" s="45" t="n">
        <v>4</v>
      </c>
      <c r="D42" s="45" t="n">
        <v>3</v>
      </c>
      <c r="E42" s="46" t="n">
        <f aca="false">C42*D42</f>
        <v>12</v>
      </c>
      <c r="F42" s="47" t="s">
        <v>291</v>
      </c>
    </row>
    <row r="43" customFormat="false" ht="43.5" hidden="false" customHeight="true" outlineLevel="0" collapsed="false">
      <c r="B43" s="42" t="str">
        <f aca="false">"Project delivery: J01 lost EUR "&amp;TEXT(ABS(Project_Register!$AC$7)/1000,"#,##0")&amp;"k at standard cost; estimates at completion are reviewed monthly, not weekly"</f>
        <v>Project delivery: J01 lost EUR 17k at standard cost; estimates at completion are reviewed monthly, not weekly</v>
      </c>
      <c r="C43" s="45" t="n">
        <v>3</v>
      </c>
      <c r="D43" s="45" t="n">
        <v>3</v>
      </c>
      <c r="E43" s="46" t="n">
        <f aca="false">C43*D43</f>
        <v>9</v>
      </c>
      <c r="F43" s="47" t="s">
        <v>292</v>
      </c>
    </row>
    <row r="44" customFormat="false" ht="30" hidden="false" customHeight="true" outlineLevel="0" collapsed="false">
      <c r="B44" s="42" t="str">
        <f aca="false">"Project pipeline: this case needs EUR "&amp;TEXT((Assumptions!$F$186)/1000,"#,##0")&amp;"k a month of project revenue against EUR "&amp;TEXT((SUMIFS(PL!$E$16:$AB$16,Assumptions!$E$202:$AB$202,"A")/Assumptions!$C$10)/1000,"#,##0")&amp;"k a month so far this year"</f>
        <v>Project pipeline: this case needs EUR 90k a month of project revenue against EUR 67k a month so far this year</v>
      </c>
      <c r="C44" s="45" t="n">
        <v>3</v>
      </c>
      <c r="D44" s="45" t="n">
        <v>3</v>
      </c>
      <c r="E44" s="46" t="n">
        <f aca="false">C44*D44</f>
        <v>9</v>
      </c>
      <c r="F44" s="47" t="s">
        <v>293</v>
      </c>
    </row>
    <row r="45" customFormat="false" ht="30" hidden="false" customHeight="true" outlineLevel="0" collapsed="false">
      <c r="B45" s="42" t="str">
        <f aca="false">"Hardware and rebates: demand below 2025 and the distributor rebate at tier 1 all year (EUR "&amp;TEXT((Assumptions!$C$130-Rebates!$P$10)/1000,"#,##0")&amp;"k short of tier 2 in the fourth quarter)"</f>
        <v>Hardware and rebates: demand below 2025 and the distributor rebate at tier 1 all year (EUR 66k short of tier 2 in the fourth quarter)</v>
      </c>
      <c r="C45" s="45" t="n">
        <v>3</v>
      </c>
      <c r="D45" s="45" t="n">
        <v>2</v>
      </c>
      <c r="E45" s="46" t="n">
        <f aca="false">C45*D45</f>
        <v>6</v>
      </c>
      <c r="F45" s="47" t="s">
        <v>294</v>
      </c>
    </row>
    <row r="46" customFormat="false" ht="30" hidden="false" customHeight="true" outlineLevel="0" collapsed="false">
      <c r="B46" s="42" t="str">
        <f aca="false">"Collections: Spanish customers pay at about "&amp;TEXT((Assumptions!$C$141),"0")&amp;" days and the J11 milestone is disputed"</f>
        <v>Collections: Spanish customers pay at about 55 days and the J11 milestone is disputed</v>
      </c>
      <c r="C46" s="45" t="n">
        <v>2</v>
      </c>
      <c r="D46" s="45" t="n">
        <v>2</v>
      </c>
      <c r="E46" s="46" t="n">
        <f aca="false">C46*D46</f>
        <v>4</v>
      </c>
      <c r="F46" s="47" t="s">
        <v>295</v>
      </c>
    </row>
    <row r="47" customFormat="false" ht="30" hidden="false" customHeight="true" outlineLevel="0" collapsed="false">
      <c r="B47" s="42" t="str">
        <f aca="false">"Key people: service desk attrition of "&amp;TEXT((Assumptions!$C$79),"0%")&amp;" a year in a tight Porto market"</f>
        <v>Key people: service desk attrition of 14% a year in a tight Porto market</v>
      </c>
      <c r="C47" s="45" t="n">
        <v>4</v>
      </c>
      <c r="D47" s="45" t="n">
        <v>3</v>
      </c>
      <c r="E47" s="46" t="n">
        <f aca="false">C47*D47</f>
        <v>12</v>
      </c>
      <c r="F47" s="47" t="s">
        <v>296</v>
      </c>
    </row>
    <row r="48" customFormat="false" ht="16.5" hidden="false" customHeight="true" outlineLevel="0" collapsed="false">
      <c r="B48" s="42" t="s">
        <v>297</v>
      </c>
      <c r="C48" s="45" t="n">
        <v>2</v>
      </c>
      <c r="D48" s="45" t="n">
        <v>2</v>
      </c>
      <c r="E48" s="46" t="n">
        <f aca="false">C48*D48</f>
        <v>4</v>
      </c>
      <c r="F48" s="47" t="s">
        <v>298</v>
      </c>
    </row>
    <row r="49" customFormat="false" ht="30" hidden="false" customHeight="true" outlineLevel="0" collapsed="false">
      <c r="B49" s="42" t="str">
        <f aca="false">"USD tooling cost: platforms billed in dollars (a 10% stronger dollar costs about EUR "&amp;TEXT((Overheads!$D$23*0.1)/1000,"#,##0")&amp;"k a year)"</f>
        <v>USD tooling cost: platforms billed in dollars (a 10% stronger dollar costs about EUR 26k a year)</v>
      </c>
      <c r="C49" s="45" t="n">
        <v>2</v>
      </c>
      <c r="D49" s="45" t="n">
        <v>1</v>
      </c>
      <c r="E49" s="46" t="n">
        <f aca="false">C49*D49</f>
        <v>2</v>
      </c>
      <c r="F49" s="47" t="s">
        <v>299</v>
      </c>
    </row>
    <row r="51" customFormat="false" ht="15" hidden="false" customHeight="true" outlineLevel="0" collapsed="false">
      <c r="B51" s="40" t="s">
        <v>300</v>
      </c>
      <c r="C51" s="41"/>
      <c r="D51" s="41"/>
      <c r="E51" s="41"/>
      <c r="F51" s="41"/>
    </row>
    <row r="52" customFormat="false" ht="15" hidden="false" customHeight="true" outlineLevel="0" collapsed="false">
      <c r="B52" s="43" t="s">
        <v>301</v>
      </c>
      <c r="C52" s="44" t="s">
        <v>302</v>
      </c>
      <c r="D52" s="44" t="s">
        <v>303</v>
      </c>
      <c r="E52" s="44" t="s">
        <v>155</v>
      </c>
      <c r="F52" s="44" t="s">
        <v>304</v>
      </c>
    </row>
    <row r="53" customFormat="false" ht="43.5" hidden="false" customHeight="true" outlineLevel="0" collapsed="false">
      <c r="B53" s="42" t="str">
        <f aca="false">"Elect to limit the 15 December IRC payment on account under CIRC art. 107 (EUR "&amp;TEXT((Tax!$C$22)/1000,"#,##0")&amp;"k), with the tax adviser confirming the FY2026 estimate"</f>
        <v>Elect to limit the 15 December IRC payment on account under CIRC art. 107 (EUR 73k), with the tax adviser confirming the FY2026 estimate</v>
      </c>
      <c r="C53" s="47" t="s">
        <v>305</v>
      </c>
      <c r="D53" s="48" t="n">
        <v>46356</v>
      </c>
      <c r="E53" s="45" t="s">
        <v>306</v>
      </c>
      <c r="F53" s="47" t="s">
        <v>307</v>
      </c>
    </row>
    <row r="54" customFormat="false" ht="30" hidden="false" customHeight="true" outlineLevel="0" collapsed="false">
      <c r="B54" s="42" t="s">
        <v>308</v>
      </c>
      <c r="C54" s="47" t="s">
        <v>309</v>
      </c>
      <c r="D54" s="48" t="n">
        <v>46326</v>
      </c>
      <c r="E54" s="45" t="s">
        <v>306</v>
      </c>
      <c r="F54" s="47" t="s">
        <v>310</v>
      </c>
    </row>
    <row r="55" customFormat="false" ht="30" hidden="false" customHeight="true" outlineLevel="0" collapsed="false">
      <c r="B55" s="42" t="s">
        <v>311</v>
      </c>
      <c r="C55" s="47" t="s">
        <v>312</v>
      </c>
      <c r="D55" s="48" t="n">
        <v>46310</v>
      </c>
      <c r="E55" s="45" t="s">
        <v>313</v>
      </c>
      <c r="F55" s="47" t="s">
        <v>314</v>
      </c>
    </row>
    <row r="56" customFormat="false" ht="30" hidden="false" customHeight="true" outlineLevel="0" collapsed="false">
      <c r="B56" s="42" t="s">
        <v>315</v>
      </c>
      <c r="C56" s="47" t="s">
        <v>316</v>
      </c>
      <c r="D56" s="48" t="n">
        <v>46356</v>
      </c>
      <c r="E56" s="45" t="s">
        <v>306</v>
      </c>
      <c r="F56" s="47" t="s">
        <v>317</v>
      </c>
    </row>
    <row r="57" customFormat="false" ht="30" hidden="false" customHeight="true" outlineLevel="0" collapsed="false">
      <c r="B57" s="42" t="s">
        <v>318</v>
      </c>
      <c r="C57" s="47" t="s">
        <v>319</v>
      </c>
      <c r="D57" s="48" t="n">
        <v>46326</v>
      </c>
      <c r="E57" s="45" t="s">
        <v>306</v>
      </c>
      <c r="F57" s="47" t="s">
        <v>320</v>
      </c>
    </row>
    <row r="58" customFormat="false" ht="30" hidden="false" customHeight="true" outlineLevel="0" collapsed="false">
      <c r="B58" s="42" t="s">
        <v>321</v>
      </c>
      <c r="C58" s="47" t="s">
        <v>322</v>
      </c>
      <c r="D58" s="48" t="n">
        <v>46310</v>
      </c>
      <c r="E58" s="45" t="s">
        <v>313</v>
      </c>
      <c r="F58" s="47" t="s">
        <v>323</v>
      </c>
    </row>
    <row r="59" customFormat="false" ht="30" hidden="false" customHeight="true" outlineLevel="0" collapsed="false">
      <c r="B59" s="42" t="s">
        <v>324</v>
      </c>
      <c r="C59" s="47" t="s">
        <v>325</v>
      </c>
      <c r="D59" s="48" t="n">
        <v>46326</v>
      </c>
      <c r="E59" s="45" t="s">
        <v>313</v>
      </c>
      <c r="F59" s="47" t="s">
        <v>326</v>
      </c>
    </row>
    <row r="60" customFormat="false" ht="30" hidden="false" customHeight="true" outlineLevel="0" collapsed="false">
      <c r="B60" s="42" t="s">
        <v>327</v>
      </c>
      <c r="C60" s="47" t="s">
        <v>328</v>
      </c>
      <c r="D60" s="48" t="n">
        <v>46326</v>
      </c>
      <c r="E60" s="45" t="s">
        <v>306</v>
      </c>
      <c r="F60" s="47" t="s">
        <v>329</v>
      </c>
    </row>
    <row r="61" customFormat="false" ht="16.5" hidden="false" customHeight="true" outlineLevel="0" collapsed="false">
      <c r="B61" s="42" t="s">
        <v>330</v>
      </c>
      <c r="C61" s="47" t="s">
        <v>331</v>
      </c>
      <c r="D61" s="48" t="n">
        <v>46356</v>
      </c>
      <c r="E61" s="45" t="s">
        <v>306</v>
      </c>
      <c r="F61" s="47" t="s">
        <v>332</v>
      </c>
    </row>
    <row r="62" customFormat="false" ht="16.5" hidden="false" customHeight="true" outlineLevel="0" collapsed="false">
      <c r="B62" s="42" t="s">
        <v>333</v>
      </c>
      <c r="C62" s="47" t="s">
        <v>334</v>
      </c>
      <c r="D62" s="48" t="n">
        <v>46310</v>
      </c>
      <c r="E62" s="45" t="s">
        <v>306</v>
      </c>
      <c r="F62" s="47" t="s">
        <v>335</v>
      </c>
    </row>
    <row r="64" customFormat="false" ht="15" hidden="false" customHeight="true" outlineLevel="0" collapsed="false">
      <c r="B64" s="40" t="s">
        <v>336</v>
      </c>
      <c r="C64" s="41"/>
      <c r="D64" s="41"/>
      <c r="E64" s="41"/>
      <c r="F64" s="41"/>
    </row>
    <row r="65" customFormat="false" ht="16.5" hidden="false" customHeight="true" outlineLevel="0" collapsed="false">
      <c r="B65" s="42" t="s">
        <v>337</v>
      </c>
    </row>
    <row r="66" customFormat="false" ht="16.5" hidden="false" customHeight="true" outlineLevel="0" collapsed="false">
      <c r="B66" s="42" t="s">
        <v>338</v>
      </c>
    </row>
    <row r="67" customFormat="false" ht="16.5" hidden="false" customHeight="true" outlineLevel="0" collapsed="false">
      <c r="B67" s="42" t="s">
        <v>339</v>
      </c>
    </row>
    <row r="68" customFormat="false" ht="16.5" hidden="false" customHeight="true" outlineLevel="0" collapsed="false">
      <c r="B68" s="42" t="s">
        <v>340</v>
      </c>
    </row>
    <row r="69" customFormat="false" ht="16.5" hidden="false" customHeight="true" outlineLevel="0" collapsed="false">
      <c r="B69" s="42" t="s">
        <v>341</v>
      </c>
    </row>
    <row r="70" customFormat="false" ht="16.5" hidden="false" customHeight="true" outlineLevel="0" collapsed="false">
      <c r="B70" s="42" t="s">
        <v>342</v>
      </c>
    </row>
    <row r="72" customFormat="false" ht="30" hidden="false" customHeight="true" outlineLevel="0" collapsed="false">
      <c r="B72" s="49" t="str">
        <f aca="false">"Prepared by BriQs Group for the board of "&amp;Assumptions!$C$6&amp;". Model status at the time of preparation: "&amp;Checks!E66&amp;"."</f>
        <v>Prepared by BriQs Group for the board of Quelvora Sistemas, Lda (fictional demonstration company). Model status at the time of preparation: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343</v>
      </c>
    </row>
    <row r="3" customFormat="false" ht="15" hidden="false" customHeight="false" outlineLevel="0" collapsed="false">
      <c r="A3" s="50" t="s">
        <v>344</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353</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59" t="s">
        <v>44</v>
      </c>
      <c r="B9" s="60" t="s">
        <v>30</v>
      </c>
      <c r="C9" s="61" t="n">
        <f aca="false">SUM(E9:P9)</f>
        <v>7532111.18066571</v>
      </c>
      <c r="D9" s="61" t="n">
        <f aca="false">SUM(Q9:AB9)</f>
        <v>8204438.49545219</v>
      </c>
      <c r="E9" s="62" t="n">
        <f aca="false">PL!E17</f>
        <v>565487.86</v>
      </c>
      <c r="F9" s="62" t="n">
        <f aca="false">PL!F17</f>
        <v>596889.586666667</v>
      </c>
      <c r="G9" s="62" t="n">
        <f aca="false">PL!G17</f>
        <v>653538.056666667</v>
      </c>
      <c r="H9" s="62" t="n">
        <f aca="false">PL!H17</f>
        <v>633432.806666667</v>
      </c>
      <c r="I9" s="62" t="n">
        <f aca="false">PL!I17</f>
        <v>632143.376666667</v>
      </c>
      <c r="J9" s="62" t="n">
        <f aca="false">PL!J17</f>
        <v>602238.1</v>
      </c>
      <c r="K9" s="62" t="n">
        <f aca="false">PL!K17</f>
        <v>602404.58</v>
      </c>
      <c r="L9" s="62" t="n">
        <f aca="false">PL!L17</f>
        <v>496657.493333333</v>
      </c>
      <c r="M9" s="62" t="n">
        <f aca="false">PL!M17</f>
        <v>677209.00953566</v>
      </c>
      <c r="N9" s="62" t="n">
        <f aca="false">PL!N17</f>
        <v>720170.603290139</v>
      </c>
      <c r="O9" s="62" t="n">
        <f aca="false">PL!O17</f>
        <v>682827.879265584</v>
      </c>
      <c r="P9" s="62" t="n">
        <f aca="false">PL!P17</f>
        <v>669111.82857433</v>
      </c>
      <c r="Q9" s="62" t="n">
        <f aca="false">PL!Q17</f>
        <v>643317.3306378</v>
      </c>
      <c r="R9" s="62" t="n">
        <f aca="false">PL!R17</f>
        <v>660913.119564763</v>
      </c>
      <c r="S9" s="62" t="n">
        <f aca="false">PL!S17</f>
        <v>696378.456363749</v>
      </c>
      <c r="T9" s="62" t="n">
        <f aca="false">PL!T17</f>
        <v>674790.049461631</v>
      </c>
      <c r="U9" s="62" t="n">
        <f aca="false">PL!U17</f>
        <v>681706.141177345</v>
      </c>
      <c r="V9" s="62" t="n">
        <f aca="false">PL!V17</f>
        <v>719723.080766578</v>
      </c>
      <c r="W9" s="62" t="n">
        <f aca="false">PL!W17</f>
        <v>663122.515143711</v>
      </c>
      <c r="X9" s="62" t="n">
        <f aca="false">PL!X17</f>
        <v>563079.670249114</v>
      </c>
      <c r="Y9" s="62" t="n">
        <f aca="false">PL!Y17</f>
        <v>729981.919141372</v>
      </c>
      <c r="Z9" s="62" t="n">
        <f aca="false">PL!Z17</f>
        <v>762517.118511857</v>
      </c>
      <c r="AA9" s="62" t="n">
        <f aca="false">PL!AA17</f>
        <v>715172.693147651</v>
      </c>
      <c r="AB9" s="62" t="n">
        <f aca="false">PL!AB17</f>
        <v>693736.401286619</v>
      </c>
    </row>
    <row r="10" customFormat="false" ht="15" hidden="false" customHeight="false" outlineLevel="0" collapsed="false">
      <c r="A10" s="27" t="s">
        <v>354</v>
      </c>
      <c r="B10" s="63" t="s">
        <v>44</v>
      </c>
      <c r="E10" s="64" t="n">
        <f aca="false">Revenue!E25</f>
        <v>-0.101205667488007</v>
      </c>
      <c r="F10" s="64" t="n">
        <f aca="false">Revenue!F25</f>
        <v>-0.0875181702063345</v>
      </c>
      <c r="G10" s="64" t="n">
        <f aca="false">Revenue!G25</f>
        <v>-0.081123847244313</v>
      </c>
      <c r="H10" s="64" t="n">
        <f aca="false">Revenue!H25</f>
        <v>-0.0721661814784598</v>
      </c>
      <c r="I10" s="64" t="n">
        <f aca="false">Revenue!I25</f>
        <v>-0.086385195011918</v>
      </c>
      <c r="J10" s="64" t="n">
        <f aca="false">Revenue!J25</f>
        <v>-0.206037210636867</v>
      </c>
      <c r="K10" s="64" t="n">
        <f aca="false">Revenue!K25</f>
        <v>-0.105548976649052</v>
      </c>
      <c r="L10" s="64" t="n">
        <f aca="false">Revenue!L25</f>
        <v>-0.0911607159467947</v>
      </c>
      <c r="M10" s="64" t="n">
        <f aca="false">Revenue!M25</f>
        <v>-0.114549005111033</v>
      </c>
      <c r="N10" s="64" t="n">
        <f aca="false">Revenue!N25</f>
        <v>-0.105228967002774</v>
      </c>
      <c r="O10" s="64" t="n">
        <f aca="false">Revenue!O25</f>
        <v>-0.087053014656915</v>
      </c>
      <c r="P10" s="64" t="n">
        <f aca="false">Revenue!P25</f>
        <v>-0.0763363792099459</v>
      </c>
      <c r="Q10" s="64" t="n">
        <f aca="false">Revenue!Q25</f>
        <v>0.137632434121221</v>
      </c>
      <c r="R10" s="64" t="n">
        <f aca="false">Revenue!R25</f>
        <v>0.107261936425523</v>
      </c>
      <c r="S10" s="64" t="n">
        <f aca="false">Revenue!S25</f>
        <v>0.0655514996564814</v>
      </c>
      <c r="T10" s="64" t="n">
        <f aca="false">Revenue!T25</f>
        <v>0.0652906549198167</v>
      </c>
      <c r="U10" s="64" t="n">
        <f aca="false">Revenue!U25</f>
        <v>0.0784043088009971</v>
      </c>
      <c r="V10" s="64" t="n">
        <f aca="false">Revenue!V25</f>
        <v>0.195080618058834</v>
      </c>
      <c r="W10" s="64" t="n">
        <f aca="false">Revenue!W25</f>
        <v>0.100792618714338</v>
      </c>
      <c r="X10" s="64" t="n">
        <f aca="false">Revenue!X25</f>
        <v>0.13373839679733</v>
      </c>
      <c r="Y10" s="64" t="n">
        <f aca="false">Revenue!Y25</f>
        <v>0.0779270636725535</v>
      </c>
      <c r="Z10" s="64" t="n">
        <f aca="false">Revenue!Z25</f>
        <v>0.0588006717134195</v>
      </c>
      <c r="AA10" s="64" t="n">
        <f aca="false">Revenue!AA25</f>
        <v>0.0473689122313745</v>
      </c>
      <c r="AB10" s="64" t="n">
        <f aca="false">Revenue!AB25</f>
        <v>0.0368018792385667</v>
      </c>
    </row>
    <row r="11" customFormat="false" ht="15" hidden="false" customHeight="false" outlineLevel="0" collapsed="false">
      <c r="A11" s="27" t="s">
        <v>355</v>
      </c>
      <c r="B11" s="63" t="s">
        <v>44</v>
      </c>
      <c r="C11" s="65" t="n">
        <f aca="false">Revenue!C24</f>
        <v>0.530441641682967</v>
      </c>
      <c r="D11" s="65" t="n">
        <f aca="false">Revenue!D24</f>
        <v>0.553803704905678</v>
      </c>
      <c r="E11" s="64" t="n">
        <f aca="false">Revenue!E24</f>
        <v>0.569419527414788</v>
      </c>
      <c r="F11" s="64" t="n">
        <f aca="false">Revenue!F24</f>
        <v>0.542151285422548</v>
      </c>
      <c r="G11" s="64" t="n">
        <f aca="false">Revenue!G24</f>
        <v>0.502687782777781</v>
      </c>
      <c r="H11" s="64" t="n">
        <f aca="false">Revenue!H24</f>
        <v>0.518307787678948</v>
      </c>
      <c r="I11" s="64" t="n">
        <f aca="false">Revenue!I24</f>
        <v>0.511409877251845</v>
      </c>
      <c r="J11" s="64" t="n">
        <f aca="false">Revenue!J24</f>
        <v>0.540898923532072</v>
      </c>
      <c r="K11" s="64" t="n">
        <f aca="false">Revenue!K24</f>
        <v>0.54364729431506</v>
      </c>
      <c r="L11" s="64" t="n">
        <f aca="false">Revenue!L24</f>
        <v>0.667475730826921</v>
      </c>
      <c r="M11" s="64" t="n">
        <f aca="false">Revenue!M24</f>
        <v>0.491781610391232</v>
      </c>
      <c r="N11" s="64" t="n">
        <f aca="false">Revenue!N24</f>
        <v>0.472549901419725</v>
      </c>
      <c r="O11" s="64" t="n">
        <f aca="false">Revenue!O24</f>
        <v>0.514635142817456</v>
      </c>
      <c r="P11" s="64" t="n">
        <f aca="false">Revenue!P24</f>
        <v>0.53818047536478</v>
      </c>
      <c r="Q11" s="64" t="n">
        <f aca="false">Revenue!Q24</f>
        <v>0.572267618179675</v>
      </c>
      <c r="R11" s="64" t="n">
        <f aca="false">Revenue!R24</f>
        <v>0.564885919363535</v>
      </c>
      <c r="S11" s="64" t="n">
        <f aca="false">Revenue!S24</f>
        <v>0.536847956089657</v>
      </c>
      <c r="T11" s="64" t="n">
        <f aca="false">Revenue!T24</f>
        <v>0.559986502636058</v>
      </c>
      <c r="U11" s="64" t="n">
        <f aca="false">Revenue!U24</f>
        <v>0.555440113423946</v>
      </c>
      <c r="V11" s="64" t="n">
        <f aca="false">Revenue!V24</f>
        <v>0.527312428639015</v>
      </c>
      <c r="W11" s="64" t="n">
        <f aca="false">Revenue!W24</f>
        <v>0.573991384474741</v>
      </c>
      <c r="X11" s="64" t="n">
        <f aca="false">Revenue!X24</f>
        <v>0.673273938093684</v>
      </c>
      <c r="Y11" s="64" t="n">
        <f aca="false">Revenue!Y24</f>
        <v>0.522469980133178</v>
      </c>
      <c r="Z11" s="64" t="n">
        <f aca="false">Revenue!Z24</f>
        <v>0.501841930524353</v>
      </c>
      <c r="AA11" s="64" t="n">
        <f aca="false">Revenue!AA24</f>
        <v>0.536586534587421</v>
      </c>
      <c r="AB11" s="64" t="n">
        <f aca="false">Revenue!AB24</f>
        <v>0.554573025104485</v>
      </c>
    </row>
    <row r="12" customFormat="false" ht="15" hidden="false" customHeight="false" outlineLevel="0" collapsed="false">
      <c r="A12" s="27" t="s">
        <v>356</v>
      </c>
      <c r="B12" s="63" t="s">
        <v>46</v>
      </c>
      <c r="C12" s="66" t="n">
        <f aca="false">SUM(E12:P12)</f>
        <v>2813869.84065143</v>
      </c>
      <c r="D12" s="66" t="n">
        <f aca="false">SUM(Q12:AB12)</f>
        <v>3173530.45760189</v>
      </c>
      <c r="E12" s="67" t="n">
        <f aca="false">Contracts!E163</f>
        <v>222281.28</v>
      </c>
      <c r="F12" s="67" t="n">
        <f aca="false">Contracts!F163</f>
        <v>223268.81</v>
      </c>
      <c r="G12" s="67" t="n">
        <f aca="false">Contracts!G163</f>
        <v>229851.35</v>
      </c>
      <c r="H12" s="67" t="n">
        <f aca="false">Contracts!H163</f>
        <v>231117.86</v>
      </c>
      <c r="I12" s="67" t="n">
        <f aca="false">Contracts!I163</f>
        <v>227787.83</v>
      </c>
      <c r="J12" s="67" t="n">
        <f aca="false">Contracts!J163</f>
        <v>228319.33</v>
      </c>
      <c r="K12" s="67" t="n">
        <f aca="false">Contracts!K163</f>
        <v>235394.64</v>
      </c>
      <c r="L12" s="67" t="n">
        <f aca="false">Contracts!L163</f>
        <v>236994.81</v>
      </c>
      <c r="M12" s="67" t="n">
        <f aca="false">Contracts!M163</f>
        <v>237538.702911441</v>
      </c>
      <c r="N12" s="67" t="n">
        <f aca="false">Contracts!N163</f>
        <v>237376.56952541</v>
      </c>
      <c r="O12" s="67" t="n">
        <f aca="false">Contracts!O163</f>
        <v>252008.421106854</v>
      </c>
      <c r="P12" s="67" t="n">
        <f aca="false">Contracts!P163</f>
        <v>251930.237107725</v>
      </c>
      <c r="Q12" s="67" t="n">
        <f aca="false">Contracts!Q163</f>
        <v>256413.069010518</v>
      </c>
      <c r="R12" s="67" t="n">
        <f aca="false">Contracts!R163</f>
        <v>260935.566579744</v>
      </c>
      <c r="S12" s="67" t="n">
        <f aca="false">Contracts!S163</f>
        <v>260253.718083795</v>
      </c>
      <c r="T12" s="67" t="n">
        <f aca="false">Contracts!T163</f>
        <v>263462.681196961</v>
      </c>
      <c r="U12" s="67" t="n">
        <f aca="false">Contracts!U163</f>
        <v>264109.049028551</v>
      </c>
      <c r="V12" s="67" t="n">
        <f aca="false">Contracts!V163</f>
        <v>264741.599418759</v>
      </c>
      <c r="W12" s="67" t="n">
        <f aca="false">Contracts!W163</f>
        <v>265700.271649055</v>
      </c>
      <c r="X12" s="67" t="n">
        <f aca="false">Contracts!X163</f>
        <v>265901.386974345</v>
      </c>
      <c r="Y12" s="67" t="n">
        <f aca="false">Contracts!Y163</f>
        <v>266521.325629425</v>
      </c>
      <c r="Z12" s="67" t="n">
        <f aca="false">Contracts!Z163</f>
        <v>267612.696822613</v>
      </c>
      <c r="AA12" s="67" t="n">
        <f aca="false">Contracts!AA163</f>
        <v>268586.599248214</v>
      </c>
      <c r="AB12" s="67" t="n">
        <f aca="false">Contracts!AB163</f>
        <v>269292.493959905</v>
      </c>
    </row>
    <row r="13" customFormat="false" ht="15" hidden="false" customHeight="false" outlineLevel="0" collapsed="false">
      <c r="A13" s="27" t="s">
        <v>357</v>
      </c>
      <c r="B13" s="63" t="s">
        <v>46</v>
      </c>
      <c r="C13" s="66" t="n">
        <f aca="false">P13</f>
        <v>3023162.8452927</v>
      </c>
      <c r="D13" s="66" t="n">
        <f aca="false">AB13</f>
        <v>3231509.92751886</v>
      </c>
      <c r="E13" s="67" t="n">
        <f aca="false">Contracts!E164</f>
        <v>2667375.36</v>
      </c>
      <c r="F13" s="67" t="n">
        <f aca="false">Contracts!F164</f>
        <v>2679225.72</v>
      </c>
      <c r="G13" s="67" t="n">
        <f aca="false">Contracts!G164</f>
        <v>2758216.2</v>
      </c>
      <c r="H13" s="67" t="n">
        <f aca="false">Contracts!H164</f>
        <v>2773414.32</v>
      </c>
      <c r="I13" s="67" t="n">
        <f aca="false">Contracts!I164</f>
        <v>2733453.96</v>
      </c>
      <c r="J13" s="67" t="n">
        <f aca="false">Contracts!J164</f>
        <v>2739831.96</v>
      </c>
      <c r="K13" s="67" t="n">
        <f aca="false">Contracts!K164</f>
        <v>2824735.68</v>
      </c>
      <c r="L13" s="67" t="n">
        <f aca="false">Contracts!L164</f>
        <v>2843937.72</v>
      </c>
      <c r="M13" s="67" t="n">
        <f aca="false">Contracts!M164</f>
        <v>2850464.43493729</v>
      </c>
      <c r="N13" s="67" t="n">
        <f aca="false">Contracts!N164</f>
        <v>2848518.83430492</v>
      </c>
      <c r="O13" s="67" t="n">
        <f aca="false">Contracts!O164</f>
        <v>3024101.05328224</v>
      </c>
      <c r="P13" s="67" t="n">
        <f aca="false">Contracts!P164</f>
        <v>3023162.8452927</v>
      </c>
      <c r="Q13" s="67" t="n">
        <f aca="false">Contracts!Q164</f>
        <v>3076956.82812622</v>
      </c>
      <c r="R13" s="67" t="n">
        <f aca="false">Contracts!R164</f>
        <v>3131226.79895693</v>
      </c>
      <c r="S13" s="67" t="n">
        <f aca="false">Contracts!S164</f>
        <v>3123044.61700555</v>
      </c>
      <c r="T13" s="67" t="n">
        <f aca="false">Contracts!T164</f>
        <v>3161552.17436353</v>
      </c>
      <c r="U13" s="67" t="n">
        <f aca="false">Contracts!U164</f>
        <v>3169308.58834261</v>
      </c>
      <c r="V13" s="67" t="n">
        <f aca="false">Contracts!V164</f>
        <v>3176899.19302511</v>
      </c>
      <c r="W13" s="67" t="n">
        <f aca="false">Contracts!W164</f>
        <v>3188403.25978865</v>
      </c>
      <c r="X13" s="67" t="n">
        <f aca="false">Contracts!X164</f>
        <v>3190816.64369214</v>
      </c>
      <c r="Y13" s="67" t="n">
        <f aca="false">Contracts!Y164</f>
        <v>3198255.9075531</v>
      </c>
      <c r="Z13" s="67" t="n">
        <f aca="false">Contracts!Z164</f>
        <v>3211352.36187136</v>
      </c>
      <c r="AA13" s="67" t="n">
        <f aca="false">Contracts!AA164</f>
        <v>3223039.19097857</v>
      </c>
      <c r="AB13" s="67" t="n">
        <f aca="false">Contracts!AB164</f>
        <v>3231509.92751886</v>
      </c>
    </row>
    <row r="14" customFormat="false" ht="15" hidden="false" customHeight="false" outlineLevel="0" collapsed="false">
      <c r="A14" s="27" t="s">
        <v>358</v>
      </c>
      <c r="B14" s="63" t="s">
        <v>46</v>
      </c>
      <c r="C14" s="66" t="n">
        <f aca="false">P14</f>
        <v>4207.06332065432</v>
      </c>
      <c r="D14" s="66" t="n">
        <f aca="false">AB14</f>
        <v>4375.74630394976</v>
      </c>
      <c r="E14" s="67" t="n">
        <f aca="false">Contracts!E161</f>
        <v>3781</v>
      </c>
      <c r="F14" s="67" t="n">
        <f aca="false">Contracts!F161</f>
        <v>3794</v>
      </c>
      <c r="G14" s="67" t="n">
        <f aca="false">Contracts!G161</f>
        <v>3882</v>
      </c>
      <c r="H14" s="67" t="n">
        <f aca="false">Contracts!H161</f>
        <v>3893</v>
      </c>
      <c r="I14" s="67" t="n">
        <f aca="false">Contracts!I161</f>
        <v>3815</v>
      </c>
      <c r="J14" s="67" t="n">
        <f aca="false">Contracts!J161</f>
        <v>3824</v>
      </c>
      <c r="K14" s="67" t="n">
        <f aca="false">Contracts!K161</f>
        <v>3938</v>
      </c>
      <c r="L14" s="67" t="n">
        <f aca="false">Contracts!L161</f>
        <v>3951</v>
      </c>
      <c r="M14" s="67" t="n">
        <f aca="false">Contracts!M161</f>
        <v>3959.919</v>
      </c>
      <c r="N14" s="67" t="n">
        <f aca="false">Contracts!N161</f>
        <v>3943.6113718</v>
      </c>
      <c r="O14" s="67" t="n">
        <f aca="false">Contracts!O161</f>
        <v>4208.75945326203</v>
      </c>
      <c r="P14" s="67" t="n">
        <f aca="false">Contracts!P161</f>
        <v>4207.06332065432</v>
      </c>
      <c r="Q14" s="67" t="n">
        <f aca="false">Contracts!Q161</f>
        <v>4267.77780594857</v>
      </c>
      <c r="R14" s="67" t="n">
        <f aca="false">Contracts!R161</f>
        <v>4334.45885730272</v>
      </c>
      <c r="S14" s="67" t="n">
        <f aca="false">Contracts!S161</f>
        <v>4301.44723135883</v>
      </c>
      <c r="T14" s="67" t="n">
        <f aca="false">Contracts!T161</f>
        <v>4341.30398599657</v>
      </c>
      <c r="U14" s="67" t="n">
        <f aca="false">Contracts!U161</f>
        <v>4346.6109873825</v>
      </c>
      <c r="V14" s="67" t="n">
        <f aca="false">Contracts!V161</f>
        <v>4356.73884365182</v>
      </c>
      <c r="W14" s="67" t="n">
        <f aca="false">Contracts!W161</f>
        <v>4362.887022681</v>
      </c>
      <c r="X14" s="67" t="n">
        <f aca="false">Contracts!X161</f>
        <v>4344.3064783299</v>
      </c>
      <c r="Y14" s="67" t="n">
        <f aca="false">Contracts!Y161</f>
        <v>4354.43884768916</v>
      </c>
      <c r="Z14" s="67" t="n">
        <f aca="false">Contracts!Z161</f>
        <v>4361.46216968203</v>
      </c>
      <c r="AA14" s="67" t="n">
        <f aca="false">Contracts!AA161</f>
        <v>4365.5558198718</v>
      </c>
      <c r="AB14" s="67" t="n">
        <f aca="false">Contracts!AB161</f>
        <v>4375.74630394976</v>
      </c>
    </row>
    <row r="15" customFormat="false" ht="15" hidden="false" customHeight="false" outlineLevel="0" collapsed="false">
      <c r="A15" s="27" t="s">
        <v>359</v>
      </c>
      <c r="B15" s="63" t="s">
        <v>46</v>
      </c>
      <c r="C15" s="66" t="n">
        <f aca="false">P15</f>
        <v>1293.60257310652</v>
      </c>
      <c r="D15" s="66" t="n">
        <f aca="false">AB15</f>
        <v>1338.23741659559</v>
      </c>
      <c r="E15" s="67" t="n">
        <f aca="false">Contracts!E162</f>
        <v>1174</v>
      </c>
      <c r="F15" s="67" t="n">
        <f aca="false">Contracts!F162</f>
        <v>1174</v>
      </c>
      <c r="G15" s="67" t="n">
        <f aca="false">Contracts!G162</f>
        <v>1204</v>
      </c>
      <c r="H15" s="67" t="n">
        <f aca="false">Contracts!H162</f>
        <v>1206</v>
      </c>
      <c r="I15" s="67" t="n">
        <f aca="false">Contracts!I162</f>
        <v>1189</v>
      </c>
      <c r="J15" s="67" t="n">
        <f aca="false">Contracts!J162</f>
        <v>1190</v>
      </c>
      <c r="K15" s="67" t="n">
        <f aca="false">Contracts!K162</f>
        <v>1223</v>
      </c>
      <c r="L15" s="67" t="n">
        <f aca="false">Contracts!L162</f>
        <v>1225</v>
      </c>
      <c r="M15" s="67" t="n">
        <f aca="false">Contracts!M162</f>
        <v>1226.386</v>
      </c>
      <c r="N15" s="67" t="n">
        <f aca="false">Contracts!N162</f>
        <v>1220.5666587</v>
      </c>
      <c r="O15" s="67" t="n">
        <f aca="false">Contracts!O162</f>
        <v>1296.42899700104</v>
      </c>
      <c r="P15" s="67" t="n">
        <f aca="false">Contracts!P162</f>
        <v>1293.60257310652</v>
      </c>
      <c r="Q15" s="67" t="n">
        <f aca="false">Contracts!Q162</f>
        <v>1312.29064304965</v>
      </c>
      <c r="R15" s="67" t="n">
        <f aca="false">Contracts!R162</f>
        <v>1336.38236529777</v>
      </c>
      <c r="S15" s="67" t="n">
        <f aca="false">Contracts!S162</f>
        <v>1328.2698415327</v>
      </c>
      <c r="T15" s="67" t="n">
        <f aca="false">Contracts!T162</f>
        <v>1340.50074990366</v>
      </c>
      <c r="U15" s="67" t="n">
        <f aca="false">Contracts!U162</f>
        <v>1340.84456002557</v>
      </c>
      <c r="V15" s="67" t="n">
        <f aca="false">Contracts!V162</f>
        <v>1342.40496048197</v>
      </c>
      <c r="W15" s="67" t="n">
        <f aca="false">Contracts!W162</f>
        <v>1342.55200138231</v>
      </c>
      <c r="X15" s="67" t="n">
        <f aca="false">Contracts!X162</f>
        <v>1335.74957020166</v>
      </c>
      <c r="Y15" s="67" t="n">
        <f aca="false">Contracts!Y162</f>
        <v>1337.3043484904</v>
      </c>
      <c r="Z15" s="67" t="n">
        <f aca="false">Contracts!Z162</f>
        <v>1338.25278278162</v>
      </c>
      <c r="AA15" s="67" t="n">
        <f aca="false">Contracts!AA162</f>
        <v>1336.68159977673</v>
      </c>
      <c r="AB15" s="67" t="n">
        <f aca="false">Contracts!AB162</f>
        <v>1338.23741659559</v>
      </c>
    </row>
    <row r="16" customFormat="false" ht="15" hidden="false" customHeight="false" outlineLevel="0" collapsed="false">
      <c r="A16" s="27" t="s">
        <v>360</v>
      </c>
      <c r="B16" s="63" t="s">
        <v>46</v>
      </c>
      <c r="C16" s="68" t="n">
        <f aca="false">P16</f>
        <v>33</v>
      </c>
      <c r="D16" s="68" t="n">
        <f aca="false">AB16</f>
        <v>36</v>
      </c>
      <c r="E16" s="69" t="n">
        <f aca="false">Contracts!E170</f>
        <v>30</v>
      </c>
      <c r="F16" s="69" t="n">
        <f aca="false">Contracts!F170</f>
        <v>30</v>
      </c>
      <c r="G16" s="69" t="n">
        <f aca="false">Contracts!G170</f>
        <v>31</v>
      </c>
      <c r="H16" s="69" t="n">
        <f aca="false">Contracts!H170</f>
        <v>31</v>
      </c>
      <c r="I16" s="69" t="n">
        <f aca="false">Contracts!I170</f>
        <v>31</v>
      </c>
      <c r="J16" s="69" t="n">
        <f aca="false">Contracts!J170</f>
        <v>31</v>
      </c>
      <c r="K16" s="69" t="n">
        <f aca="false">Contracts!K170</f>
        <v>32</v>
      </c>
      <c r="L16" s="69" t="n">
        <f aca="false">Contracts!L170</f>
        <v>32</v>
      </c>
      <c r="M16" s="69" t="n">
        <f aca="false">Contracts!M170</f>
        <v>32</v>
      </c>
      <c r="N16" s="69" t="n">
        <f aca="false">Contracts!N170</f>
        <v>32</v>
      </c>
      <c r="O16" s="69" t="n">
        <f aca="false">Contracts!O170</f>
        <v>33</v>
      </c>
      <c r="P16" s="69" t="n">
        <f aca="false">Contracts!P170</f>
        <v>33</v>
      </c>
      <c r="Q16" s="69" t="n">
        <f aca="false">Contracts!Q170</f>
        <v>34</v>
      </c>
      <c r="R16" s="69" t="n">
        <f aca="false">Contracts!R170</f>
        <v>35</v>
      </c>
      <c r="S16" s="69" t="n">
        <f aca="false">Contracts!S170</f>
        <v>35</v>
      </c>
      <c r="T16" s="69" t="n">
        <f aca="false">Contracts!T170</f>
        <v>36</v>
      </c>
      <c r="U16" s="69" t="n">
        <f aca="false">Contracts!U170</f>
        <v>36</v>
      </c>
      <c r="V16" s="69" t="n">
        <f aca="false">Contracts!V170</f>
        <v>36</v>
      </c>
      <c r="W16" s="69" t="n">
        <f aca="false">Contracts!W170</f>
        <v>36</v>
      </c>
      <c r="X16" s="69" t="n">
        <f aca="false">Contracts!X170</f>
        <v>36</v>
      </c>
      <c r="Y16" s="69" t="n">
        <f aca="false">Contracts!Y170</f>
        <v>36</v>
      </c>
      <c r="Z16" s="69" t="n">
        <f aca="false">Contracts!Z170</f>
        <v>36</v>
      </c>
      <c r="AA16" s="69" t="n">
        <f aca="false">Contracts!AA170</f>
        <v>36</v>
      </c>
      <c r="AB16" s="69" t="n">
        <f aca="false">Contracts!AB170</f>
        <v>36</v>
      </c>
    </row>
    <row r="17" customFormat="false" ht="15" hidden="false" customHeight="false" outlineLevel="0" collapsed="false">
      <c r="A17" s="27" t="s">
        <v>361</v>
      </c>
      <c r="B17" s="63" t="s">
        <v>46</v>
      </c>
      <c r="C17" s="70" t="n">
        <f aca="false">AVERAGE(E17:P17)</f>
        <v>59.61052368813</v>
      </c>
      <c r="D17" s="70" t="n">
        <f aca="false">AVERAGE(Q17:AB17)</f>
        <v>60.8949228617902</v>
      </c>
      <c r="E17" s="71" t="n">
        <f aca="false">Contracts!E169</f>
        <v>58.789018778101</v>
      </c>
      <c r="F17" s="71" t="n">
        <f aca="false">Contracts!F169</f>
        <v>58.8478676858197</v>
      </c>
      <c r="G17" s="71" t="n">
        <f aca="false">Contracts!G169</f>
        <v>59.2095182895415</v>
      </c>
      <c r="H17" s="71" t="n">
        <f aca="false">Contracts!H169</f>
        <v>59.3675468790136</v>
      </c>
      <c r="I17" s="71" t="n">
        <f aca="false">Contracts!I169</f>
        <v>59.7084744429882</v>
      </c>
      <c r="J17" s="71" t="n">
        <f aca="false">Contracts!J169</f>
        <v>59.7069377615063</v>
      </c>
      <c r="K17" s="71" t="n">
        <f aca="false">Contracts!K169</f>
        <v>59.7751752158456</v>
      </c>
      <c r="L17" s="71" t="n">
        <f aca="false">Contracts!L169</f>
        <v>59.9835003796507</v>
      </c>
      <c r="M17" s="71" t="n">
        <f aca="false">Contracts!M169</f>
        <v>59.98574791844</v>
      </c>
      <c r="N17" s="71" t="n">
        <f aca="false">Contracts!N169</f>
        <v>60.1926881596</v>
      </c>
      <c r="O17" s="71" t="n">
        <f aca="false">Contracts!O169</f>
        <v>59.8771262423973</v>
      </c>
      <c r="P17" s="71" t="n">
        <f aca="false">Contracts!P169</f>
        <v>59.8826825046557</v>
      </c>
      <c r="Q17" s="71" t="n">
        <f aca="false">Contracts!Q169</f>
        <v>60.0811665155392</v>
      </c>
      <c r="R17" s="71" t="n">
        <f aca="false">Contracts!R169</f>
        <v>60.2002637861284</v>
      </c>
      <c r="S17" s="71" t="n">
        <f aca="false">Contracts!S169</f>
        <v>60.5037570114701</v>
      </c>
      <c r="T17" s="71" t="n">
        <f aca="false">Contracts!T169</f>
        <v>60.6874529051164</v>
      </c>
      <c r="U17" s="71" t="n">
        <f aca="false">Contracts!U169</f>
        <v>60.762062626542</v>
      </c>
      <c r="V17" s="71" t="n">
        <f aca="false">Contracts!V169</f>
        <v>60.766001571224</v>
      </c>
      <c r="W17" s="71" t="n">
        <f aca="false">Contracts!W169</f>
        <v>60.9001035937395</v>
      </c>
      <c r="X17" s="71" t="n">
        <f aca="false">Contracts!X169</f>
        <v>61.2068665736876</v>
      </c>
      <c r="Y17" s="71" t="n">
        <f aca="false">Contracts!Y169</f>
        <v>61.2068133120906</v>
      </c>
      <c r="Z17" s="71" t="n">
        <f aca="false">Contracts!Z169</f>
        <v>61.3584817226842</v>
      </c>
      <c r="AA17" s="71" t="n">
        <f aca="false">Contracts!AA169</f>
        <v>61.5240327533142</v>
      </c>
      <c r="AB17" s="71" t="n">
        <f aca="false">Contracts!AB169</f>
        <v>61.5420719699468</v>
      </c>
    </row>
    <row r="18" customFormat="false" ht="15" hidden="false" customHeight="false" outlineLevel="0" collapsed="false">
      <c r="A18" s="27" t="s">
        <v>362</v>
      </c>
      <c r="B18" s="63" t="s">
        <v>46</v>
      </c>
      <c r="C18" s="65" t="n">
        <f aca="false">P18</f>
        <v>0.999768521600653</v>
      </c>
      <c r="D18" s="65" t="n">
        <f aca="false">AB18</f>
        <v>1.02766411588763</v>
      </c>
      <c r="E18" s="64" t="n">
        <f aca="false">Contracts!E175</f>
        <v>1.04723609134583</v>
      </c>
      <c r="F18" s="64" t="n">
        <f aca="false">Contracts!F175</f>
        <v>1.04779165354493</v>
      </c>
      <c r="G18" s="64" t="n">
        <f aca="false">Contracts!G175</f>
        <v>1.0477392969842</v>
      </c>
      <c r="H18" s="64" t="n">
        <f aca="false">Contracts!H175</f>
        <v>1.04809308899112</v>
      </c>
      <c r="I18" s="64" t="n">
        <f aca="false">Contracts!I175</f>
        <v>1.0076157006428</v>
      </c>
      <c r="J18" s="64" t="n">
        <f aca="false">Contracts!J175</f>
        <v>1.00783152340158</v>
      </c>
      <c r="K18" s="64" t="n">
        <f aca="false">Contracts!K175</f>
        <v>1.00768249573168</v>
      </c>
      <c r="L18" s="64" t="n">
        <f aca="false">Contracts!L175</f>
        <v>1.0092170568112</v>
      </c>
      <c r="M18" s="64" t="n">
        <f aca="false">Contracts!M175</f>
        <v>1.01047516632438</v>
      </c>
      <c r="N18" s="64" t="n">
        <f aca="false">Contracts!N175</f>
        <v>1.00511014117411</v>
      </c>
      <c r="O18" s="64" t="n">
        <f aca="false">Contracts!O175</f>
        <v>1.00255543392764</v>
      </c>
      <c r="P18" s="64" t="n">
        <f aca="false">Contracts!P175</f>
        <v>0.999768521600653</v>
      </c>
      <c r="Q18" s="64" t="n">
        <f aca="false">Contracts!Q175</f>
        <v>0.99875349789091</v>
      </c>
      <c r="R18" s="64" t="n">
        <f aca="false">Contracts!R175</f>
        <v>0.996782532451289</v>
      </c>
      <c r="S18" s="64" t="n">
        <f aca="false">Contracts!S175</f>
        <v>0.98870521931218</v>
      </c>
      <c r="T18" s="64" t="n">
        <f aca="false">Contracts!T175</f>
        <v>0.985611867796608</v>
      </c>
      <c r="U18" s="64" t="n">
        <f aca="false">Contracts!U175</f>
        <v>1.0218595113525</v>
      </c>
      <c r="V18" s="64" t="n">
        <f aca="false">Contracts!V175</f>
        <v>1.02193037810146</v>
      </c>
      <c r="W18" s="64" t="n">
        <f aca="false">Contracts!W175</f>
        <v>1.02314698529034</v>
      </c>
      <c r="X18" s="64" t="n">
        <f aca="false">Contracts!X175</f>
        <v>1.01684791058776</v>
      </c>
      <c r="Y18" s="64" t="n">
        <f aca="false">Contracts!Y175</f>
        <v>1.01688994340032</v>
      </c>
      <c r="Z18" s="64" t="n">
        <f aca="false">Contracts!Z175</f>
        <v>1.02194183674046</v>
      </c>
      <c r="AA18" s="64" t="n">
        <f aca="false">Contracts!AA175</f>
        <v>1.02462549921937</v>
      </c>
      <c r="AB18" s="64" t="n">
        <f aca="false">Contracts!AB175</f>
        <v>1.02766411588763</v>
      </c>
    </row>
    <row r="19" customFormat="false" ht="15" hidden="false" customHeight="false" outlineLevel="0" collapsed="false">
      <c r="A19" s="27" t="s">
        <v>363</v>
      </c>
      <c r="B19" s="63" t="s">
        <v>46</v>
      </c>
      <c r="C19" s="65" t="n">
        <f aca="false">P19</f>
        <v>0.956306560585923</v>
      </c>
      <c r="D19" s="65" t="n">
        <f aca="false">AB19</f>
        <v>0.991534066946617</v>
      </c>
      <c r="E19" s="64" t="n">
        <f aca="false">Contracts!E176</f>
        <v>1</v>
      </c>
      <c r="F19" s="64" t="n">
        <f aca="false">Contracts!F176</f>
        <v>1</v>
      </c>
      <c r="G19" s="64" t="n">
        <f aca="false">Contracts!G176</f>
        <v>1</v>
      </c>
      <c r="H19" s="64" t="n">
        <f aca="false">Contracts!H176</f>
        <v>1</v>
      </c>
      <c r="I19" s="64" t="n">
        <f aca="false">Contracts!I176</f>
        <v>0.960822142356379</v>
      </c>
      <c r="J19" s="64" t="n">
        <f aca="false">Contracts!J176</f>
        <v>0.961507028303392</v>
      </c>
      <c r="K19" s="64" t="n">
        <f aca="false">Contracts!K176</f>
        <v>0.961623107187685</v>
      </c>
      <c r="L19" s="64" t="n">
        <f aca="false">Contracts!L176</f>
        <v>0.961828481440291</v>
      </c>
      <c r="M19" s="64" t="n">
        <f aca="false">Contracts!M176</f>
        <v>0.962524238752776</v>
      </c>
      <c r="N19" s="64" t="n">
        <f aca="false">Contracts!N176</f>
        <v>0.95963999393717</v>
      </c>
      <c r="O19" s="64" t="n">
        <f aca="false">Contracts!O176</f>
        <v>0.958833559611453</v>
      </c>
      <c r="P19" s="64" t="n">
        <f aca="false">Contracts!P176</f>
        <v>0.956306560585923</v>
      </c>
      <c r="Q19" s="64" t="n">
        <f aca="false">Contracts!Q176</f>
        <v>0.955807928040426</v>
      </c>
      <c r="R19" s="64" t="n">
        <f aca="false">Contracts!R176</f>
        <v>0.955759528180897</v>
      </c>
      <c r="S19" s="64" t="n">
        <f aca="false">Contracts!S176</f>
        <v>0.95146354857935</v>
      </c>
      <c r="T19" s="64" t="n">
        <f aca="false">Contracts!T176</f>
        <v>0.950792864326283</v>
      </c>
      <c r="U19" s="64" t="n">
        <f aca="false">Contracts!U176</f>
        <v>0.986643865720711</v>
      </c>
      <c r="V19" s="64" t="n">
        <f aca="false">Contracts!V176</f>
        <v>0.986370356752002</v>
      </c>
      <c r="W19" s="64" t="n">
        <f aca="false">Contracts!W176</f>
        <v>0.98641158455267</v>
      </c>
      <c r="X19" s="64" t="n">
        <f aca="false">Contracts!X176</f>
        <v>0.984966546789436</v>
      </c>
      <c r="Y19" s="64" t="n">
        <f aca="false">Contracts!Y176</f>
        <v>0.984981345311607</v>
      </c>
      <c r="Z19" s="64" t="n">
        <f aca="false">Contracts!Z176</f>
        <v>0.988007879924064</v>
      </c>
      <c r="AA19" s="64" t="n">
        <f aca="false">Contracts!AA176</f>
        <v>0.989481097258227</v>
      </c>
      <c r="AB19" s="64" t="n">
        <f aca="false">Contracts!AB176</f>
        <v>0.991534066946617</v>
      </c>
    </row>
    <row r="20" customFormat="false" ht="15" hidden="false" customHeight="false" outlineLevel="0" collapsed="false">
      <c r="A20" s="27" t="s">
        <v>364</v>
      </c>
      <c r="B20" s="63" t="s">
        <v>46</v>
      </c>
      <c r="C20" s="66" t="n">
        <f aca="false">SUM(E20:P20)</f>
        <v>10824.5463683112</v>
      </c>
      <c r="D20" s="66" t="n">
        <f aca="false">SUM(Q20:AB20)</f>
        <v>6554.33922897683</v>
      </c>
      <c r="E20" s="67" t="n">
        <f aca="false">Contracts!E174</f>
        <v>0</v>
      </c>
      <c r="F20" s="67" t="n">
        <f aca="false">Contracts!F174</f>
        <v>0</v>
      </c>
      <c r="G20" s="67" t="n">
        <f aca="false">Contracts!G174</f>
        <v>0</v>
      </c>
      <c r="H20" s="67" t="n">
        <f aca="false">Contracts!H174</f>
        <v>0</v>
      </c>
      <c r="I20" s="67" t="n">
        <f aca="false">Contracts!I174</f>
        <v>8250</v>
      </c>
      <c r="J20" s="67" t="n">
        <f aca="false">Contracts!J174</f>
        <v>0</v>
      </c>
      <c r="K20" s="67" t="n">
        <f aca="false">Contracts!K174</f>
        <v>0</v>
      </c>
      <c r="L20" s="67" t="n">
        <f aca="false">Contracts!L174</f>
        <v>0</v>
      </c>
      <c r="M20" s="67" t="n">
        <f aca="false">Contracts!M174</f>
        <v>0</v>
      </c>
      <c r="N20" s="67" t="n">
        <f aca="false">Contracts!N174</f>
        <v>1361.63832</v>
      </c>
      <c r="O20" s="67" t="n">
        <f aca="false">Contracts!O174</f>
        <v>473.081217</v>
      </c>
      <c r="P20" s="67" t="n">
        <f aca="false">Contracts!P174</f>
        <v>739.8268313112</v>
      </c>
      <c r="Q20" s="67" t="n">
        <f aca="false">Contracts!Q174</f>
        <v>528.692008665283</v>
      </c>
      <c r="R20" s="67" t="n">
        <f aca="false">Contracts!R174</f>
        <v>427.775275604935</v>
      </c>
      <c r="S20" s="67" t="n">
        <f aca="false">Contracts!S174</f>
        <v>2333.20522223397</v>
      </c>
      <c r="T20" s="67" t="n">
        <f aca="false">Contracts!T174</f>
        <v>665.392301168221</v>
      </c>
      <c r="U20" s="67" t="n">
        <f aca="false">Contracts!U174</f>
        <v>328.212275301879</v>
      </c>
      <c r="V20" s="67" t="n">
        <f aca="false">Contracts!V174</f>
        <v>0</v>
      </c>
      <c r="W20" s="67" t="n">
        <f aca="false">Contracts!W174</f>
        <v>274.59026617006</v>
      </c>
      <c r="X20" s="67" t="n">
        <f aca="false">Contracts!X174</f>
        <v>1418.5181050113</v>
      </c>
      <c r="Y20" s="67" t="n">
        <f aca="false">Contracts!Y174</f>
        <v>0</v>
      </c>
      <c r="Z20" s="67" t="n">
        <f aca="false">Contracts!Z174</f>
        <v>205.034085274371</v>
      </c>
      <c r="AA20" s="67" t="n">
        <f aca="false">Contracts!AA174</f>
        <v>372.919689546813</v>
      </c>
      <c r="AB20" s="67" t="n">
        <f aca="false">Contracts!AB174</f>
        <v>0</v>
      </c>
    </row>
    <row r="21" customFormat="false" ht="15" hidden="false" customHeight="false" outlineLevel="0" collapsed="false">
      <c r="A21" s="27" t="s">
        <v>365</v>
      </c>
      <c r="B21" s="63" t="s">
        <v>46</v>
      </c>
      <c r="C21" s="66" t="n">
        <f aca="false">SUM(E21:P21)</f>
        <v>362136</v>
      </c>
      <c r="D21" s="66" t="n">
        <f aca="false">SUM(Q21:AB21)</f>
        <v>122271</v>
      </c>
      <c r="E21" s="67" t="n">
        <f aca="false">Contracts!E172</f>
        <v>0</v>
      </c>
      <c r="F21" s="67" t="n">
        <f aca="false">Contracts!F172</f>
        <v>0</v>
      </c>
      <c r="G21" s="67" t="n">
        <f aca="false">Contracts!G172</f>
        <v>63072</v>
      </c>
      <c r="H21" s="67" t="n">
        <f aca="false">Contracts!H172</f>
        <v>0</v>
      </c>
      <c r="I21" s="67" t="n">
        <f aca="false">Contracts!I172</f>
        <v>50832</v>
      </c>
      <c r="J21" s="67" t="n">
        <f aca="false">Contracts!J172</f>
        <v>0</v>
      </c>
      <c r="K21" s="67" t="n">
        <f aca="false">Contracts!K172</f>
        <v>76896</v>
      </c>
      <c r="L21" s="67" t="n">
        <f aca="false">Contracts!L172</f>
        <v>0</v>
      </c>
      <c r="M21" s="67" t="n">
        <f aca="false">Contracts!M172</f>
        <v>0</v>
      </c>
      <c r="N21" s="67" t="n">
        <f aca="false">Contracts!N172</f>
        <v>0</v>
      </c>
      <c r="O21" s="67" t="n">
        <f aca="false">Contracts!O172</f>
        <v>171336</v>
      </c>
      <c r="P21" s="67" t="n">
        <f aca="false">Contracts!P172</f>
        <v>0</v>
      </c>
      <c r="Q21" s="67" t="n">
        <f aca="false">Contracts!Q172</f>
        <v>44640</v>
      </c>
      <c r="R21" s="67" t="n">
        <f aca="false">Contracts!R172</f>
        <v>46575</v>
      </c>
      <c r="S21" s="67" t="n">
        <f aca="false">Contracts!S172</f>
        <v>0</v>
      </c>
      <c r="T21" s="67" t="n">
        <f aca="false">Contracts!T172</f>
        <v>31056</v>
      </c>
      <c r="U21" s="67" t="n">
        <f aca="false">Contracts!U172</f>
        <v>0</v>
      </c>
      <c r="V21" s="67" t="n">
        <f aca="false">Contracts!V172</f>
        <v>0</v>
      </c>
      <c r="W21" s="67" t="n">
        <f aca="false">Contracts!W172</f>
        <v>0</v>
      </c>
      <c r="X21" s="67" t="n">
        <f aca="false">Contracts!X172</f>
        <v>0</v>
      </c>
      <c r="Y21" s="67" t="n">
        <f aca="false">Contracts!Y172</f>
        <v>0</v>
      </c>
      <c r="Z21" s="67" t="n">
        <f aca="false">Contracts!Z172</f>
        <v>0</v>
      </c>
      <c r="AA21" s="67" t="n">
        <f aca="false">Contracts!AA172</f>
        <v>0</v>
      </c>
      <c r="AB21" s="67" t="n">
        <f aca="false">Contracts!AB172</f>
        <v>0</v>
      </c>
    </row>
    <row r="22" customFormat="false" ht="15" hidden="false" customHeight="false" outlineLevel="0" collapsed="false">
      <c r="A22" s="21" t="s">
        <v>366</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row>
    <row r="23" customFormat="false" ht="15" hidden="false" customHeight="false" outlineLevel="0" collapsed="false">
      <c r="A23" s="27" t="s">
        <v>367</v>
      </c>
      <c r="B23" s="63" t="s">
        <v>49</v>
      </c>
      <c r="C23" s="66" t="n">
        <f aca="false">SUM(E23:P23)</f>
        <v>22274.7678385745</v>
      </c>
      <c r="D23" s="66" t="n">
        <f aca="false">SUM(Q23:AB23)</f>
        <v>24445.4479692859</v>
      </c>
      <c r="E23" s="67" t="n">
        <f aca="false">Service_Desk!E11</f>
        <v>1903</v>
      </c>
      <c r="F23" s="67" t="n">
        <f aca="false">Service_Desk!F11</f>
        <v>1831</v>
      </c>
      <c r="G23" s="67" t="n">
        <f aca="false">Service_Desk!G11</f>
        <v>1874</v>
      </c>
      <c r="H23" s="67" t="n">
        <f aca="false">Service_Desk!H11</f>
        <v>1844</v>
      </c>
      <c r="I23" s="67" t="n">
        <f aca="false">Service_Desk!I11</f>
        <v>1788</v>
      </c>
      <c r="J23" s="67" t="n">
        <f aca="false">Service_Desk!J11</f>
        <v>1748</v>
      </c>
      <c r="K23" s="67" t="n">
        <f aca="false">Service_Desk!K11</f>
        <v>1792</v>
      </c>
      <c r="L23" s="67" t="n">
        <f aca="false">Service_Desk!L11</f>
        <v>1601</v>
      </c>
      <c r="M23" s="67" t="n">
        <f aca="false">Service_Desk!M11</f>
        <v>2021.383728</v>
      </c>
      <c r="N23" s="67" t="n">
        <f aca="false">Service_Desk!N11</f>
        <v>1957.00376354175</v>
      </c>
      <c r="O23" s="67" t="n">
        <f aca="false">Service_Desk!O11</f>
        <v>2047.71405685604</v>
      </c>
      <c r="P23" s="67" t="n">
        <f aca="false">Service_Desk!P11</f>
        <v>1867.66629017675</v>
      </c>
      <c r="Q23" s="67" t="n">
        <f aca="false">Service_Desk!Q11</f>
        <v>2136.48945308585</v>
      </c>
      <c r="R23" s="67" t="n">
        <f aca="false">Service_Desk!R11</f>
        <v>2088.61087661112</v>
      </c>
      <c r="S23" s="67" t="n">
        <f aca="false">Service_Desk!S11</f>
        <v>2032.41371023127</v>
      </c>
      <c r="T23" s="67" t="n">
        <f aca="false">Service_Desk!T11</f>
        <v>1989.69581755412</v>
      </c>
      <c r="U23" s="67" t="n">
        <f aca="false">Service_Desk!U11</f>
        <v>2012.4497861069</v>
      </c>
      <c r="V23" s="67" t="n">
        <f aca="false">Service_Desk!V11</f>
        <v>1975.71759131107</v>
      </c>
      <c r="W23" s="67" t="n">
        <f aca="false">Service_Desk!W11</f>
        <v>1957.61407027296</v>
      </c>
      <c r="X23" s="67" t="n">
        <f aca="false">Service_Desk!X11</f>
        <v>1805.4838100929</v>
      </c>
      <c r="Y23" s="67" t="n">
        <f aca="false">Service_Desk!Y11</f>
        <v>2220.70253969464</v>
      </c>
      <c r="Z23" s="67" t="n">
        <f aca="false">Service_Desk!Z11</f>
        <v>2162.2829385563</v>
      </c>
      <c r="AA23" s="67" t="n">
        <f aca="false">Service_Desk!AA11</f>
        <v>2122.59239579744</v>
      </c>
      <c r="AB23" s="67" t="n">
        <f aca="false">Service_Desk!AB11</f>
        <v>1941.39497997134</v>
      </c>
    </row>
    <row r="24" customFormat="false" ht="15" hidden="false" customHeight="false" outlineLevel="0" collapsed="false">
      <c r="A24" s="27" t="s">
        <v>368</v>
      </c>
      <c r="B24" s="63" t="s">
        <v>49</v>
      </c>
      <c r="C24" s="65" t="n">
        <f aca="false">Service_Desk!C25</f>
        <v>0.891250518425235</v>
      </c>
      <c r="D24" s="65" t="n">
        <f aca="false">Service_Desk!D25</f>
        <v>0.814165979617015</v>
      </c>
      <c r="E24" s="64" t="n">
        <f aca="false">Service_Desk!E25</f>
        <v>0.814536543458015</v>
      </c>
      <c r="F24" s="64" t="n">
        <f aca="false">Service_Desk!F25</f>
        <v>0.807026923383707</v>
      </c>
      <c r="G24" s="64" t="n">
        <f aca="false">Service_Desk!G25</f>
        <v>0.883534579749206</v>
      </c>
      <c r="H24" s="64" t="n">
        <f aca="false">Service_Desk!H25</f>
        <v>0.895207845294596</v>
      </c>
      <c r="I24" s="64" t="n">
        <f aca="false">Service_Desk!I25</f>
        <v>0.907772777132533</v>
      </c>
      <c r="J24" s="64" t="n">
        <f aca="false">Service_Desk!J25</f>
        <v>0.89054428226484</v>
      </c>
      <c r="K24" s="64" t="n">
        <f aca="false">Service_Desk!K25</f>
        <v>0.984569273514586</v>
      </c>
      <c r="L24" s="64" t="n">
        <f aca="false">Service_Desk!L25</f>
        <v>0.956967835055707</v>
      </c>
      <c r="M24" s="64" t="n">
        <f aca="false">Service_Desk!M25</f>
        <v>0.946224005024392</v>
      </c>
      <c r="N24" s="64" t="n">
        <f aca="false">Service_Desk!N25</f>
        <v>0.846826912799911</v>
      </c>
      <c r="O24" s="64" t="n">
        <f aca="false">Service_Desk!O25</f>
        <v>0.950506000379139</v>
      </c>
      <c r="P24" s="64" t="n">
        <f aca="false">Service_Desk!P25</f>
        <v>0.844038705086206</v>
      </c>
      <c r="Q24" s="64" t="n">
        <f aca="false">Service_Desk!Q25</f>
        <v>0.85128121691386</v>
      </c>
      <c r="R24" s="64" t="n">
        <f aca="false">Service_Desk!R25</f>
        <v>0.858733783940534</v>
      </c>
      <c r="S24" s="64" t="n">
        <f aca="false">Service_Desk!S25</f>
        <v>0.80260891831699</v>
      </c>
      <c r="T24" s="64" t="n">
        <f aca="false">Service_Desk!T25</f>
        <v>0.823400325317093</v>
      </c>
      <c r="U24" s="64" t="n">
        <f aca="false">Service_Desk!U25</f>
        <v>0.792460040749685</v>
      </c>
      <c r="V24" s="64" t="n">
        <f aca="false">Service_Desk!V25</f>
        <v>0.789233956177672</v>
      </c>
      <c r="W24" s="64" t="n">
        <f aca="false">Service_Desk!W25</f>
        <v>0.822076246296033</v>
      </c>
      <c r="X24" s="64" t="n">
        <f aca="false">Service_Desk!X25</f>
        <v>0.854762702465612</v>
      </c>
      <c r="Y24" s="64" t="n">
        <f aca="false">Service_Desk!Y25</f>
        <v>0.825736561926586</v>
      </c>
      <c r="Z24" s="64" t="n">
        <f aca="false">Service_Desk!Z25</f>
        <v>0.795425422971701</v>
      </c>
      <c r="AA24" s="64" t="n">
        <f aca="false">Service_Desk!AA25</f>
        <v>0.781975318001294</v>
      </c>
      <c r="AB24" s="64" t="n">
        <f aca="false">Service_Desk!AB25</f>
        <v>0.783174552384366</v>
      </c>
    </row>
    <row r="25" customFormat="false" ht="15" hidden="false" customHeight="false" outlineLevel="0" collapsed="false">
      <c r="A25" s="27" t="s">
        <v>369</v>
      </c>
      <c r="B25" s="63" t="s">
        <v>49</v>
      </c>
      <c r="C25" s="65" t="n">
        <f aca="false">AVERAGE(E25:P25)</f>
        <v>0.923188570405144</v>
      </c>
      <c r="D25" s="65" t="n">
        <f aca="false">AVERAGE(Q25:AB25)</f>
        <v>0.972075846594595</v>
      </c>
      <c r="E25" s="64" t="n">
        <f aca="false">Service_Desk!E26</f>
        <v>0.9734</v>
      </c>
      <c r="F25" s="64" t="n">
        <f aca="false">Service_Desk!F26</f>
        <v>0.9803</v>
      </c>
      <c r="G25" s="64" t="n">
        <f aca="false">Service_Desk!G26</f>
        <v>0.9318</v>
      </c>
      <c r="H25" s="64" t="n">
        <f aca="false">Service_Desk!H26</f>
        <v>0.9181</v>
      </c>
      <c r="I25" s="64" t="n">
        <f aca="false">Service_Desk!I26</f>
        <v>0.9122</v>
      </c>
      <c r="J25" s="64" t="n">
        <f aca="false">Service_Desk!J26</f>
        <v>0.9265</v>
      </c>
      <c r="K25" s="64" t="n">
        <f aca="false">Service_Desk!K26</f>
        <v>0.8639</v>
      </c>
      <c r="L25" s="64" t="n">
        <f aca="false">Service_Desk!L26</f>
        <v>0.884</v>
      </c>
      <c r="M25" s="64" t="n">
        <f aca="false">Service_Desk!M26</f>
        <v>0.889954396734146</v>
      </c>
      <c r="N25" s="64" t="n">
        <f aca="false">Service_Desk!N26</f>
        <v>0.954562506680058</v>
      </c>
      <c r="O25" s="64" t="n">
        <f aca="false">Service_Desk!O26</f>
        <v>0.88717109975356</v>
      </c>
      <c r="P25" s="64" t="n">
        <f aca="false">Service_Desk!P26</f>
        <v>0.956374841693966</v>
      </c>
      <c r="Q25" s="64" t="n">
        <f aca="false">Service_Desk!Q26</f>
        <v>0.951667209005991</v>
      </c>
      <c r="R25" s="64" t="n">
        <f aca="false">Service_Desk!R26</f>
        <v>0.946823040438653</v>
      </c>
      <c r="S25" s="64" t="n">
        <f aca="false">Service_Desk!S26</f>
        <v>0.983304203093956</v>
      </c>
      <c r="T25" s="64" t="n">
        <f aca="false">Service_Desk!T26</f>
        <v>0.96978978854389</v>
      </c>
      <c r="U25" s="64" t="n">
        <f aca="false">Service_Desk!U26</f>
        <v>0.985</v>
      </c>
      <c r="V25" s="64" t="n">
        <f aca="false">Service_Desk!V26</f>
        <v>0.985</v>
      </c>
      <c r="W25" s="64" t="n">
        <f aca="false">Service_Desk!W26</f>
        <v>0.970650439907579</v>
      </c>
      <c r="X25" s="64" t="n">
        <f aca="false">Service_Desk!X26</f>
        <v>0.949404243397352</v>
      </c>
      <c r="Y25" s="64" t="n">
        <f aca="false">Service_Desk!Y26</f>
        <v>0.968271234747719</v>
      </c>
      <c r="Z25" s="64" t="n">
        <f aca="false">Service_Desk!Z26</f>
        <v>0.985</v>
      </c>
      <c r="AA25" s="64" t="n">
        <f aca="false">Service_Desk!AA26</f>
        <v>0.985</v>
      </c>
      <c r="AB25" s="64" t="n">
        <f aca="false">Service_Desk!AB26</f>
        <v>0.985</v>
      </c>
    </row>
    <row r="26" customFormat="false" ht="15" hidden="false" customHeight="false" outlineLevel="0" collapsed="false">
      <c r="A26" s="27" t="s">
        <v>370</v>
      </c>
      <c r="B26" s="63" t="s">
        <v>49</v>
      </c>
      <c r="C26" s="66" t="n">
        <f aca="false">SUM(E26:P26)</f>
        <v>56251.0392045859</v>
      </c>
      <c r="D26" s="66" t="n">
        <f aca="false">SUM(Q26:AB26)</f>
        <v>4196.20014891111</v>
      </c>
      <c r="E26" s="67" t="n">
        <f aca="false">Service_Desk!E28</f>
        <v>0</v>
      </c>
      <c r="F26" s="67" t="n">
        <f aca="false">Service_Desk!F28</f>
        <v>0</v>
      </c>
      <c r="G26" s="67" t="n">
        <f aca="false">Service_Desk!G28</f>
        <v>3235.73</v>
      </c>
      <c r="H26" s="67" t="n">
        <f aca="false">Service_Desk!H28</f>
        <v>4841.71</v>
      </c>
      <c r="I26" s="67" t="n">
        <f aca="false">Service_Desk!I28</f>
        <v>5441.04</v>
      </c>
      <c r="J26" s="67" t="n">
        <f aca="false">Service_Desk!J28</f>
        <v>3820.12</v>
      </c>
      <c r="K26" s="67" t="n">
        <f aca="false">Service_Desk!K28</f>
        <v>11314.01</v>
      </c>
      <c r="L26" s="67" t="n">
        <f aca="false">Service_Desk!L28</f>
        <v>9000.4</v>
      </c>
      <c r="M26" s="67" t="n">
        <f aca="false">Service_Desk!M28</f>
        <v>8319.27087221023</v>
      </c>
      <c r="N26" s="67" t="n">
        <f aca="false">Service_Desk!N28</f>
        <v>645.366755552625</v>
      </c>
      <c r="O26" s="67" t="n">
        <f aca="false">Service_Desk!O28</f>
        <v>9176.748081027</v>
      </c>
      <c r="P26" s="67" t="n">
        <f aca="false">Service_Desk!P28</f>
        <v>456.643495796042</v>
      </c>
      <c r="Q26" s="67" t="n">
        <f aca="false">Service_Desk!Q28</f>
        <v>1068.31825609855</v>
      </c>
      <c r="R26" s="67" t="n">
        <f aca="false">Service_Desk!R28</f>
        <v>1719.16870446923</v>
      </c>
      <c r="S26" s="67" t="n">
        <f aca="false">Service_Desk!S28</f>
        <v>0</v>
      </c>
      <c r="T26" s="67" t="n">
        <f aca="false">Service_Desk!T28</f>
        <v>0</v>
      </c>
      <c r="U26" s="67" t="n">
        <f aca="false">Service_Desk!U28</f>
        <v>0</v>
      </c>
      <c r="V26" s="67" t="n">
        <f aca="false">Service_Desk!V28</f>
        <v>0</v>
      </c>
      <c r="W26" s="67" t="n">
        <f aca="false">Service_Desk!W28</f>
        <v>0</v>
      </c>
      <c r="X26" s="67" t="n">
        <f aca="false">Service_Desk!X28</f>
        <v>1408.71318834332</v>
      </c>
      <c r="Y26" s="67" t="n">
        <f aca="false">Service_Desk!Y28</f>
        <v>0</v>
      </c>
      <c r="Z26" s="67" t="n">
        <f aca="false">Service_Desk!Z28</f>
        <v>0</v>
      </c>
      <c r="AA26" s="67" t="n">
        <f aca="false">Service_Desk!AA28</f>
        <v>0</v>
      </c>
      <c r="AB26" s="67" t="n">
        <f aca="false">Service_Desk!AB28</f>
        <v>0</v>
      </c>
    </row>
    <row r="27" customFormat="false" ht="15" hidden="false" customHeight="false" outlineLevel="0" collapsed="false">
      <c r="A27" s="27" t="s">
        <v>371</v>
      </c>
      <c r="B27" s="63" t="s">
        <v>49</v>
      </c>
      <c r="C27" s="72" t="n">
        <f aca="false">Service_Desk!C32</f>
        <v>0.0199906329681416</v>
      </c>
      <c r="D27" s="72" t="n">
        <f aca="false">Service_Desk!D32</f>
        <v>0.00132224984287121</v>
      </c>
      <c r="E27" s="73" t="n">
        <f aca="false">Service_Desk!E32</f>
        <v>0</v>
      </c>
      <c r="F27" s="73" t="n">
        <f aca="false">Service_Desk!F32</f>
        <v>0</v>
      </c>
      <c r="G27" s="73" t="n">
        <f aca="false">Service_Desk!G32</f>
        <v>0.0140774896471132</v>
      </c>
      <c r="H27" s="73" t="n">
        <f aca="false">Service_Desk!H32</f>
        <v>0.0209490949769092</v>
      </c>
      <c r="I27" s="73" t="n">
        <f aca="false">Service_Desk!I32</f>
        <v>0.0238864385336126</v>
      </c>
      <c r="J27" s="73" t="n">
        <f aca="false">Service_Desk!J32</f>
        <v>0.0167314786706846</v>
      </c>
      <c r="K27" s="73" t="n">
        <f aca="false">Service_Desk!K32</f>
        <v>0.0480640085942484</v>
      </c>
      <c r="L27" s="73" t="n">
        <f aca="false">Service_Desk!L32</f>
        <v>0.0379772029606893</v>
      </c>
      <c r="M27" s="73" t="n">
        <f aca="false">Service_Desk!M32</f>
        <v>0.0350228016329272</v>
      </c>
      <c r="N27" s="73" t="n">
        <f aca="false">Service_Desk!N32</f>
        <v>0.00271874665997118</v>
      </c>
      <c r="O27" s="73" t="n">
        <f aca="false">Service_Desk!O32</f>
        <v>0.0364144501232202</v>
      </c>
      <c r="P27" s="73" t="n">
        <f aca="false">Service_Desk!P32</f>
        <v>0.0018125791530168</v>
      </c>
      <c r="Q27" s="73" t="n">
        <f aca="false">Service_Desk!Q32</f>
        <v>0.00416639549700459</v>
      </c>
      <c r="R27" s="73" t="n">
        <f aca="false">Service_Desk!R32</f>
        <v>0.00658847978067351</v>
      </c>
      <c r="S27" s="73" t="n">
        <f aca="false">Service_Desk!S32</f>
        <v>0</v>
      </c>
      <c r="T27" s="73" t="n">
        <f aca="false">Service_Desk!T32</f>
        <v>0</v>
      </c>
      <c r="U27" s="73" t="n">
        <f aca="false">Service_Desk!U32</f>
        <v>0</v>
      </c>
      <c r="V27" s="73" t="n">
        <f aca="false">Service_Desk!V32</f>
        <v>0</v>
      </c>
      <c r="W27" s="73" t="n">
        <f aca="false">Service_Desk!W32</f>
        <v>0</v>
      </c>
      <c r="X27" s="73" t="n">
        <f aca="false">Service_Desk!X32</f>
        <v>0.00529787830132395</v>
      </c>
      <c r="Y27" s="73" t="n">
        <f aca="false">Service_Desk!Y32</f>
        <v>0</v>
      </c>
      <c r="Z27" s="73" t="n">
        <f aca="false">Service_Desk!Z32</f>
        <v>0</v>
      </c>
      <c r="AA27" s="73" t="n">
        <f aca="false">Service_Desk!AA32</f>
        <v>0</v>
      </c>
      <c r="AB27" s="73" t="n">
        <f aca="false">Service_Desk!AB32</f>
        <v>0</v>
      </c>
    </row>
    <row r="28" customFormat="false" ht="15" hidden="false" customHeight="false" outlineLevel="0" collapsed="false">
      <c r="A28" s="27" t="s">
        <v>372</v>
      </c>
      <c r="B28" s="63" t="s">
        <v>49</v>
      </c>
      <c r="C28" s="74" t="n">
        <f aca="false">P28</f>
        <v>41.0636517780633</v>
      </c>
      <c r="D28" s="74" t="n">
        <f aca="false">AB28</f>
        <v>45.9283386764027</v>
      </c>
      <c r="E28" s="75" t="n">
        <f aca="false">Service_Desk!E23</f>
        <v>39</v>
      </c>
      <c r="F28" s="75" t="n">
        <f aca="false">Service_Desk!F23</f>
        <v>39</v>
      </c>
      <c r="G28" s="75" t="n">
        <f aca="false">Service_Desk!G23</f>
        <v>38</v>
      </c>
      <c r="H28" s="75" t="n">
        <f aca="false">Service_Desk!H23</f>
        <v>37</v>
      </c>
      <c r="I28" s="75" t="n">
        <f aca="false">Service_Desk!I23</f>
        <v>36</v>
      </c>
      <c r="J28" s="75" t="n">
        <f aca="false">Service_Desk!J23</f>
        <v>36</v>
      </c>
      <c r="K28" s="75" t="n">
        <f aca="false">Service_Desk!K23</f>
        <v>37</v>
      </c>
      <c r="L28" s="75" t="n">
        <f aca="false">Service_Desk!L23</f>
        <v>37</v>
      </c>
      <c r="M28" s="75" t="n">
        <f aca="false">Service_Desk!M23</f>
        <v>36.5683333333333</v>
      </c>
      <c r="N28" s="75" t="n">
        <f aca="false">Service_Desk!N23</f>
        <v>39.1417027777778</v>
      </c>
      <c r="O28" s="75" t="n">
        <f aca="false">Service_Desk!O23</f>
        <v>41.1167162453704</v>
      </c>
      <c r="P28" s="75" t="n">
        <f aca="false">Service_Desk!P23</f>
        <v>41.0636517780633</v>
      </c>
      <c r="Q28" s="75" t="n">
        <f aca="false">Service_Desk!Q23</f>
        <v>43.0412290397266</v>
      </c>
      <c r="R28" s="75" t="n">
        <f aca="false">Service_Desk!R23</f>
        <v>43.0187763904591</v>
      </c>
      <c r="S28" s="75" t="n">
        <f aca="false">Service_Desk!S23</f>
        <v>43.9959666033145</v>
      </c>
      <c r="T28" s="75" t="n">
        <f aca="false">Service_Desk!T23</f>
        <v>44.984827998406</v>
      </c>
      <c r="U28" s="75" t="n">
        <f aca="false">Service_Desk!U23</f>
        <v>44.9618907296466</v>
      </c>
      <c r="V28" s="75" t="n">
        <f aca="false">Service_Desk!V23</f>
        <v>45.9506216148394</v>
      </c>
      <c r="W28" s="75" t="n">
        <f aca="false">Service_Desk!W23</f>
        <v>45.9393540226477</v>
      </c>
      <c r="X28" s="75" t="n">
        <f aca="false">Service_Desk!X23</f>
        <v>45.9279502842293</v>
      </c>
      <c r="Y28" s="75" t="n">
        <f aca="false">Service_Desk!Y23</f>
        <v>45.9282147830864</v>
      </c>
      <c r="Z28" s="75" t="n">
        <f aca="false">Service_Desk!Z23</f>
        <v>45.9283447408813</v>
      </c>
      <c r="AA28" s="75" t="n">
        <f aca="false">Service_Desk!AA23</f>
        <v>45.928340138887</v>
      </c>
      <c r="AB28" s="75" t="n">
        <f aca="false">Service_Desk!AB23</f>
        <v>45.9283386764027</v>
      </c>
    </row>
    <row r="29" customFormat="false" ht="15" hidden="false" customHeight="false" outlineLevel="0" collapsed="false">
      <c r="A29" s="27" t="s">
        <v>373</v>
      </c>
      <c r="B29" s="63" t="s">
        <v>49</v>
      </c>
      <c r="C29" s="74" t="n">
        <f aca="false">AVERAGE(E29:P29)</f>
        <v>4.42614817601216</v>
      </c>
      <c r="D29" s="74" t="n">
        <f aca="false">AVERAGE(Q29:AB29)</f>
        <v>0.830022558810032</v>
      </c>
      <c r="E29" s="75" t="n">
        <f aca="false">Service_Desk!E36</f>
        <v>0.708656493578211</v>
      </c>
      <c r="F29" s="75" t="n">
        <f aca="false">Service_Desk!F36</f>
        <v>0.342562514955731</v>
      </c>
      <c r="G29" s="75" t="n">
        <f aca="false">Service_Desk!G36</f>
        <v>3.96789253808726</v>
      </c>
      <c r="H29" s="75" t="n">
        <f aca="false">Service_Desk!H36</f>
        <v>4.40336284487507</v>
      </c>
      <c r="I29" s="75" t="n">
        <f aca="false">Service_Desk!I36</f>
        <v>4.84977497096399</v>
      </c>
      <c r="J29" s="75" t="n">
        <f aca="false">Service_Desk!J36</f>
        <v>4.07449270191778</v>
      </c>
      <c r="K29" s="75" t="n">
        <f aca="false">Service_Desk!K36</f>
        <v>8.5363289000496</v>
      </c>
      <c r="L29" s="75" t="n">
        <f aca="false">Service_Desk!L36</f>
        <v>7.25976237132642</v>
      </c>
      <c r="M29" s="75" t="n">
        <f aca="false">Service_Desk!M36</f>
        <v>6.6839601963337</v>
      </c>
      <c r="N29" s="75" t="n">
        <f aca="false">Service_Desk!N36</f>
        <v>2.29110637851881</v>
      </c>
      <c r="O29" s="75" t="n">
        <f aca="false">Service_Desk!O36</f>
        <v>7.73539063851834</v>
      </c>
      <c r="P29" s="75" t="n">
        <f aca="false">Service_Desk!P36</f>
        <v>2.26048756302097</v>
      </c>
      <c r="Q29" s="75" t="n">
        <f aca="false">Service_Desk!Q36</f>
        <v>2.75900825328171</v>
      </c>
      <c r="R29" s="75" t="n">
        <f aca="false">Service_Desk!R36</f>
        <v>3.15831939737921</v>
      </c>
      <c r="S29" s="75" t="n">
        <f aca="false">Service_Desk!S36</f>
        <v>0.143477353931353</v>
      </c>
      <c r="T29" s="75" t="n">
        <f aca="false">Service_Desk!T36</f>
        <v>1.31582451187021</v>
      </c>
      <c r="U29" s="75" t="n">
        <f aca="false">Service_Desk!U36</f>
        <v>-0.423763529898331</v>
      </c>
      <c r="V29" s="75" t="n">
        <f aca="false">Service_Desk!V36</f>
        <v>-0.618383007460722</v>
      </c>
      <c r="W29" s="75" t="n">
        <f aca="false">Service_Desk!W36</f>
        <v>1.26771061760576</v>
      </c>
      <c r="X29" s="75" t="n">
        <f aca="false">Service_Desk!X36</f>
        <v>3.14392334533835</v>
      </c>
      <c r="Y29" s="75" t="n">
        <f aca="false">Service_Desk!Y36</f>
        <v>1.47754292992809</v>
      </c>
      <c r="Z29" s="75" t="n">
        <f aca="false">Service_Desk!Z36</f>
        <v>-0.262628438499284</v>
      </c>
      <c r="AA29" s="75" t="n">
        <f aca="false">Service_Desk!AA36</f>
        <v>-1.03480465716483</v>
      </c>
      <c r="AB29" s="75" t="n">
        <f aca="false">Service_Desk!AB36</f>
        <v>-0.965956070591133</v>
      </c>
    </row>
    <row r="30" customFormat="false" ht="15" hidden="false" customHeight="false" outlineLevel="0" collapsed="false">
      <c r="A30" s="27" t="s">
        <v>374</v>
      </c>
      <c r="B30" s="63" t="s">
        <v>49</v>
      </c>
      <c r="C30" s="74" t="n">
        <f aca="false">AVERAGE(E30:P30)</f>
        <v>48.7818041159166</v>
      </c>
      <c r="D30" s="74" t="n">
        <f aca="false">AVERAGE(Q30:AB30)</f>
        <v>45.1842869587101</v>
      </c>
      <c r="E30" s="75" t="n">
        <f aca="false">Service_Desk!E34</f>
        <v>48.7948717948718</v>
      </c>
      <c r="F30" s="75" t="n">
        <f aca="false">Service_Desk!F34</f>
        <v>46.948717948718</v>
      </c>
      <c r="G30" s="75" t="n">
        <f aca="false">Service_Desk!G34</f>
        <v>49.3157894736842</v>
      </c>
      <c r="H30" s="75" t="n">
        <f aca="false">Service_Desk!H34</f>
        <v>49.8378378378378</v>
      </c>
      <c r="I30" s="75" t="n">
        <f aca="false">Service_Desk!I34</f>
        <v>49.6666666666667</v>
      </c>
      <c r="J30" s="75" t="n">
        <f aca="false">Service_Desk!J34</f>
        <v>48.5555555555556</v>
      </c>
      <c r="K30" s="75" t="n">
        <f aca="false">Service_Desk!K34</f>
        <v>48.4324324324324</v>
      </c>
      <c r="L30" s="75" t="n">
        <f aca="false">Service_Desk!L34</f>
        <v>43.2702702702703</v>
      </c>
      <c r="M30" s="75" t="n">
        <f aca="false">Service_Desk!M34</f>
        <v>55.2768896950914</v>
      </c>
      <c r="N30" s="75" t="n">
        <f aca="false">Service_Desk!N34</f>
        <v>49.9979210064621</v>
      </c>
      <c r="O30" s="75" t="n">
        <f aca="false">Service_Desk!O34</f>
        <v>49.8024707186241</v>
      </c>
      <c r="P30" s="75" t="n">
        <f aca="false">Service_Desk!P34</f>
        <v>45.4822259907843</v>
      </c>
      <c r="Q30" s="75" t="n">
        <f aca="false">Service_Desk!Q34</f>
        <v>49.6382073828304</v>
      </c>
      <c r="R30" s="75" t="n">
        <f aca="false">Service_Desk!R34</f>
        <v>48.5511456126478</v>
      </c>
      <c r="S30" s="75" t="n">
        <f aca="false">Service_Desk!S34</f>
        <v>46.1954553369934</v>
      </c>
      <c r="T30" s="75" t="n">
        <f aca="false">Service_Desk!T34</f>
        <v>44.23037513058</v>
      </c>
      <c r="U30" s="75" t="n">
        <f aca="false">Service_Desk!U34</f>
        <v>44.7590115417443</v>
      </c>
      <c r="V30" s="75" t="n">
        <f aca="false">Service_Desk!V34</f>
        <v>42.996536757906</v>
      </c>
      <c r="W30" s="75" t="n">
        <f aca="false">Service_Desk!W34</f>
        <v>42.6130082131298</v>
      </c>
      <c r="X30" s="75" t="n">
        <f aca="false">Service_Desk!X34</f>
        <v>39.3112211391865</v>
      </c>
      <c r="Y30" s="75" t="n">
        <f aca="false">Service_Desk!Y34</f>
        <v>48.3515971648965</v>
      </c>
      <c r="Z30" s="75" t="n">
        <f aca="false">Service_Desk!Z34</f>
        <v>47.0794876400504</v>
      </c>
      <c r="AA30" s="75" t="n">
        <f aca="false">Service_Desk!AA34</f>
        <v>46.2153082253514</v>
      </c>
      <c r="AB30" s="75" t="n">
        <f aca="false">Service_Desk!AB34</f>
        <v>42.2700893592043</v>
      </c>
    </row>
    <row r="31" customFormat="false" ht="15" hidden="false" customHeight="false" outlineLevel="0" collapsed="false">
      <c r="A31" s="21" t="s">
        <v>375</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row>
    <row r="32" customFormat="false" ht="15" hidden="false" customHeight="false" outlineLevel="0" collapsed="false">
      <c r="A32" s="27" t="s">
        <v>376</v>
      </c>
      <c r="B32" s="63" t="s">
        <v>30</v>
      </c>
      <c r="C32" s="65" t="n">
        <f aca="false">PL!C30</f>
        <v>0.272961191720416</v>
      </c>
      <c r="D32" s="65" t="n">
        <f aca="false">PL!D30</f>
        <v>0.284810515519122</v>
      </c>
      <c r="E32" s="64" t="n">
        <f aca="false">PL!E30</f>
        <v>0.249723859815902</v>
      </c>
      <c r="F32" s="64" t="n">
        <f aca="false">PL!F30</f>
        <v>0.258374611216166</v>
      </c>
      <c r="G32" s="64" t="n">
        <f aca="false">PL!G30</f>
        <v>0.283797215670022</v>
      </c>
      <c r="H32" s="64" t="n">
        <f aca="false">PL!H30</f>
        <v>0.293555101939659</v>
      </c>
      <c r="I32" s="64" t="n">
        <f aca="false">PL!I30</f>
        <v>0.273979639222088</v>
      </c>
      <c r="J32" s="64" t="n">
        <f aca="false">PL!J30</f>
        <v>0.18826900568872</v>
      </c>
      <c r="K32" s="64" t="n">
        <f aca="false">PL!K30</f>
        <v>0.278213484321919</v>
      </c>
      <c r="L32" s="64" t="n">
        <f aca="false">PL!L30</f>
        <v>0.280466901409415</v>
      </c>
      <c r="M32" s="64" t="n">
        <f aca="false">PL!M30</f>
        <v>0.289220590433802</v>
      </c>
      <c r="N32" s="64" t="n">
        <f aca="false">PL!N30</f>
        <v>0.283561410693485</v>
      </c>
      <c r="O32" s="64" t="n">
        <f aca="false">PL!O30</f>
        <v>0.282145795278076</v>
      </c>
      <c r="P32" s="64" t="n">
        <f aca="false">PL!P30</f>
        <v>0.303259861341463</v>
      </c>
      <c r="Q32" s="64" t="n">
        <f aca="false">PL!Q30</f>
        <v>0.284379039643836</v>
      </c>
      <c r="R32" s="64" t="n">
        <f aca="false">PL!R30</f>
        <v>0.281228606762734</v>
      </c>
      <c r="S32" s="64" t="n">
        <f aca="false">PL!S30</f>
        <v>0.281373947580903</v>
      </c>
      <c r="T32" s="64" t="n">
        <f aca="false">PL!T30</f>
        <v>0.288229889423649</v>
      </c>
      <c r="U32" s="64" t="n">
        <f aca="false">PL!U30</f>
        <v>0.276545764022943</v>
      </c>
      <c r="V32" s="64" t="n">
        <f aca="false">PL!V30</f>
        <v>0.285637287747606</v>
      </c>
      <c r="W32" s="64" t="n">
        <f aca="false">PL!W30</f>
        <v>0.291494173460296</v>
      </c>
      <c r="X32" s="64" t="n">
        <f aca="false">PL!X30</f>
        <v>0.294993455413263</v>
      </c>
      <c r="Y32" s="64" t="n">
        <f aca="false">PL!Y30</f>
        <v>0.280671980051649</v>
      </c>
      <c r="Z32" s="64" t="n">
        <f aca="false">PL!Z30</f>
        <v>0.279142055114384</v>
      </c>
      <c r="AA32" s="64" t="n">
        <f aca="false">PL!AA30</f>
        <v>0.282056707420239</v>
      </c>
      <c r="AB32" s="64" t="n">
        <f aca="false">PL!AB30</f>
        <v>0.294780722617974</v>
      </c>
    </row>
    <row r="33" customFormat="false" ht="15" hidden="false" customHeight="false" outlineLevel="0" collapsed="false">
      <c r="A33" s="27" t="s">
        <v>377</v>
      </c>
      <c r="B33" s="63" t="s">
        <v>59</v>
      </c>
      <c r="C33" s="65" t="n">
        <f aca="false">Margins!C16</f>
        <v>0.35194421308257</v>
      </c>
      <c r="D33" s="65" t="n">
        <f aca="false">Margins!D16</f>
        <v>0.34952332283804</v>
      </c>
      <c r="E33" s="64" t="n">
        <f aca="false">Margins!E16</f>
        <v>0.314198709052252</v>
      </c>
      <c r="F33" s="64" t="n">
        <f aca="false">Margins!F16</f>
        <v>0.321500140650226</v>
      </c>
      <c r="G33" s="64" t="n">
        <f aca="false">Margins!G16</f>
        <v>0.33601398359303</v>
      </c>
      <c r="H33" s="64" t="n">
        <f aca="false">Margins!H16</f>
        <v>0.354601450898543</v>
      </c>
      <c r="I33" s="64" t="n">
        <f aca="false">Margins!I16</f>
        <v>0.348115323894198</v>
      </c>
      <c r="J33" s="64" t="n">
        <f aca="false">Margins!J16</f>
        <v>0.36471925107071</v>
      </c>
      <c r="K33" s="64" t="n">
        <f aca="false">Margins!K16</f>
        <v>0.369955729554744</v>
      </c>
      <c r="L33" s="64" t="n">
        <f aca="false">Margins!L16</f>
        <v>0.399809923330515</v>
      </c>
      <c r="M33" s="64" t="n">
        <f aca="false">Margins!M16</f>
        <v>0.36537177069873</v>
      </c>
      <c r="N33" s="64" t="n">
        <f aca="false">Margins!N16</f>
        <v>0.352847701552311</v>
      </c>
      <c r="O33" s="64" t="n">
        <f aca="false">Margins!O16</f>
        <v>0.338820838010449</v>
      </c>
      <c r="P33" s="64" t="n">
        <f aca="false">Margins!P16</f>
        <v>0.35611337865641</v>
      </c>
      <c r="Q33" s="64" t="n">
        <f aca="false">Margins!Q16</f>
        <v>0.336454887177737</v>
      </c>
      <c r="R33" s="64" t="n">
        <f aca="false">Margins!R16</f>
        <v>0.345895826892972</v>
      </c>
      <c r="S33" s="64" t="n">
        <f aca="false">Margins!S16</f>
        <v>0.34262296366969</v>
      </c>
      <c r="T33" s="64" t="n">
        <f aca="false">Margins!T16</f>
        <v>0.351425772820062</v>
      </c>
      <c r="U33" s="64" t="n">
        <f aca="false">Margins!U16</f>
        <v>0.343568037165429</v>
      </c>
      <c r="V33" s="64" t="n">
        <f aca="false">Margins!V16</f>
        <v>0.346005634150047</v>
      </c>
      <c r="W33" s="64" t="n">
        <f aca="false">Margins!W16</f>
        <v>0.363283919089146</v>
      </c>
      <c r="X33" s="64" t="n">
        <f aca="false">Margins!X16</f>
        <v>0.386444676556845</v>
      </c>
      <c r="Y33" s="64" t="n">
        <f aca="false">Margins!Y16</f>
        <v>0.346553064605578</v>
      </c>
      <c r="Z33" s="64" t="n">
        <f aca="false">Margins!Z16</f>
        <v>0.339231148043909</v>
      </c>
      <c r="AA33" s="64" t="n">
        <f aca="false">Margins!AA16</f>
        <v>0.33795533727365</v>
      </c>
      <c r="AB33" s="64" t="n">
        <f aca="false">Margins!AB16</f>
        <v>0.35441317616382</v>
      </c>
    </row>
    <row r="34" customFormat="false" ht="15" hidden="false" customHeight="false" outlineLevel="0" collapsed="false">
      <c r="A34" s="27" t="s">
        <v>378</v>
      </c>
      <c r="B34" s="63" t="s">
        <v>59</v>
      </c>
      <c r="C34" s="65" t="n">
        <f aca="false">Margins!C22</f>
        <v>0.141049393356539</v>
      </c>
      <c r="D34" s="65" t="n">
        <f aca="false">Margins!D22</f>
        <v>0.14108</v>
      </c>
      <c r="E34" s="64" t="n">
        <f aca="false">Margins!E22</f>
        <v>0.142212795698925</v>
      </c>
      <c r="F34" s="64" t="n">
        <f aca="false">Margins!F22</f>
        <v>0.142245025380711</v>
      </c>
      <c r="G34" s="64" t="n">
        <f aca="false">Margins!G22</f>
        <v>0.142123526785714</v>
      </c>
      <c r="H34" s="64" t="n">
        <f aca="false">Margins!H22</f>
        <v>0.139703880597015</v>
      </c>
      <c r="I34" s="64" t="n">
        <f aca="false">Margins!I22</f>
        <v>0.141556698113208</v>
      </c>
      <c r="J34" s="64" t="n">
        <f aca="false">Margins!J22</f>
        <v>0.139980798319328</v>
      </c>
      <c r="K34" s="64" t="n">
        <f aca="false">Margins!K22</f>
        <v>0.139869846938776</v>
      </c>
      <c r="L34" s="64" t="n">
        <f aca="false">Margins!L22</f>
        <v>0.137034545454545</v>
      </c>
      <c r="M34" s="64" t="n">
        <f aca="false">Margins!M22</f>
        <v>0.14396064785691</v>
      </c>
      <c r="N34" s="64" t="n">
        <f aca="false">Margins!N22</f>
        <v>0.141359971774194</v>
      </c>
      <c r="O34" s="64" t="n">
        <f aca="false">Margins!O22</f>
        <v>0.140117566475731</v>
      </c>
      <c r="P34" s="64" t="n">
        <f aca="false">Margins!P22</f>
        <v>0.140322525345622</v>
      </c>
      <c r="Q34" s="64" t="n">
        <f aca="false">Margins!Q22</f>
        <v>0.140408739002933</v>
      </c>
      <c r="R34" s="64" t="n">
        <f aca="false">Margins!R22</f>
        <v>0.141969733520337</v>
      </c>
      <c r="S34" s="64" t="n">
        <f aca="false">Margins!S22</f>
        <v>0.141256811059908</v>
      </c>
      <c r="T34" s="64" t="n">
        <f aca="false">Margins!T22</f>
        <v>0.140655103565365</v>
      </c>
      <c r="U34" s="64" t="n">
        <f aca="false">Margins!U22</f>
        <v>0.141188296774194</v>
      </c>
      <c r="V34" s="64" t="n">
        <f aca="false">Margins!V22</f>
        <v>0.141909806451613</v>
      </c>
      <c r="W34" s="64" t="n">
        <f aca="false">Margins!W22</f>
        <v>0.139556140252454</v>
      </c>
      <c r="X34" s="64" t="n">
        <f aca="false">Margins!X22</f>
        <v>0.137929548387097</v>
      </c>
      <c r="Y34" s="64" t="n">
        <f aca="false">Margins!Y22</f>
        <v>0.144180391470749</v>
      </c>
      <c r="Z34" s="64" t="n">
        <f aca="false">Margins!Z22</f>
        <v>0.141359971774194</v>
      </c>
      <c r="AA34" s="64" t="n">
        <f aca="false">Margins!AA22</f>
        <v>0.140117566475731</v>
      </c>
      <c r="AB34" s="64" t="n">
        <f aca="false">Margins!AB22</f>
        <v>0.140322525345622</v>
      </c>
    </row>
    <row r="35" customFormat="false" ht="15" hidden="false" customHeight="false" outlineLevel="0" collapsed="false">
      <c r="A35" s="27" t="s">
        <v>379</v>
      </c>
      <c r="B35" s="63" t="s">
        <v>59</v>
      </c>
      <c r="C35" s="65" t="n">
        <f aca="false">Margins!C27</f>
        <v>0.408440248603325</v>
      </c>
      <c r="D35" s="65" t="n">
        <f aca="false">Margins!D27</f>
        <v>0.399803253771111</v>
      </c>
      <c r="E35" s="64" t="n">
        <f aca="false">Margins!E27</f>
        <v>0.506836052140594</v>
      </c>
      <c r="F35" s="64" t="n">
        <f aca="false">Margins!F27</f>
        <v>0.387674987637795</v>
      </c>
      <c r="G35" s="64" t="n">
        <f aca="false">Margins!G27</f>
        <v>0.414654488483831</v>
      </c>
      <c r="H35" s="64" t="n">
        <f aca="false">Margins!H27</f>
        <v>0.394234104687292</v>
      </c>
      <c r="I35" s="64" t="n">
        <f aca="false">Margins!I27</f>
        <v>0.393218606319356</v>
      </c>
      <c r="J35" s="64" t="n">
        <f aca="false">Margins!J27</f>
        <v>0.402979289243833</v>
      </c>
      <c r="K35" s="64" t="n">
        <f aca="false">Margins!K27</f>
        <v>0.387576301395257</v>
      </c>
      <c r="L35" s="64" t="n">
        <f aca="false">Margins!L27</f>
        <v>0.347153743849946</v>
      </c>
      <c r="M35" s="64" t="n">
        <f aca="false">Margins!M27</f>
        <v>0.405543480038394</v>
      </c>
      <c r="N35" s="64" t="n">
        <f aca="false">Margins!N27</f>
        <v>0.409271682902661</v>
      </c>
      <c r="O35" s="64" t="n">
        <f aca="false">Margins!O27</f>
        <v>0.416157478502567</v>
      </c>
      <c r="P35" s="64" t="n">
        <f aca="false">Margins!P27</f>
        <v>0.433149394129801</v>
      </c>
      <c r="Q35" s="64" t="n">
        <f aca="false">Margins!Q27</f>
        <v>0.498514220647437</v>
      </c>
      <c r="R35" s="64" t="n">
        <f aca="false">Margins!R27</f>
        <v>0.374981934185206</v>
      </c>
      <c r="S35" s="64" t="n">
        <f aca="false">Margins!S27</f>
        <v>0.401018439625767</v>
      </c>
      <c r="T35" s="64" t="n">
        <f aca="false">Margins!T27</f>
        <v>0.381512191289621</v>
      </c>
      <c r="U35" s="64" t="n">
        <f aca="false">Margins!U27</f>
        <v>0.381970370247292</v>
      </c>
      <c r="V35" s="64" t="n">
        <f aca="false">Margins!V27</f>
        <v>0.392823815083625</v>
      </c>
      <c r="W35" s="64" t="n">
        <f aca="false">Margins!W27</f>
        <v>0.378100665002411</v>
      </c>
      <c r="X35" s="64" t="n">
        <f aca="false">Margins!X27</f>
        <v>0.340391926954831</v>
      </c>
      <c r="Y35" s="64" t="n">
        <f aca="false">Margins!Y27</f>
        <v>0.400893409442145</v>
      </c>
      <c r="Z35" s="64" t="n">
        <f aca="false">Margins!Z27</f>
        <v>0.40441630059764</v>
      </c>
      <c r="AA35" s="64" t="n">
        <f aca="false">Margins!AA27</f>
        <v>0.411099562565388</v>
      </c>
      <c r="AB35" s="64" t="n">
        <f aca="false">Margins!AB27</f>
        <v>0.427938587406225</v>
      </c>
    </row>
    <row r="36" customFormat="false" ht="15" hidden="false" customHeight="false" outlineLevel="0" collapsed="false">
      <c r="A36" s="27" t="s">
        <v>380</v>
      </c>
      <c r="B36" s="63" t="s">
        <v>59</v>
      </c>
      <c r="C36" s="65" t="n">
        <f aca="false">Margins!C34</f>
        <v>0.250504414241176</v>
      </c>
      <c r="D36" s="65" t="n">
        <f aca="false">Margins!D34</f>
        <v>0.313262779851462</v>
      </c>
      <c r="E36" s="64" t="n">
        <f aca="false">Margins!E34</f>
        <v>0.0712034005326784</v>
      </c>
      <c r="F36" s="64" t="n">
        <f aca="false">Margins!F34</f>
        <v>0.247161226099165</v>
      </c>
      <c r="G36" s="64" t="n">
        <f aca="false">Margins!G34</f>
        <v>0.400503609898794</v>
      </c>
      <c r="H36" s="64" t="n">
        <f aca="false">Margins!H34</f>
        <v>0.384404948189145</v>
      </c>
      <c r="I36" s="64" t="n">
        <f aca="false">Margins!I34</f>
        <v>0.291993752108735</v>
      </c>
      <c r="J36" s="64" t="n">
        <f aca="false">Margins!J34</f>
        <v>-1.45785501317931</v>
      </c>
      <c r="K36" s="64" t="n">
        <f aca="false">Margins!K34</f>
        <v>0.216600993536473</v>
      </c>
      <c r="L36" s="64" t="n">
        <f aca="false">Margins!L34</f>
        <v>-0.25520846094981</v>
      </c>
      <c r="M36" s="64" t="n">
        <f aca="false">Margins!M34</f>
        <v>0.37704254378797</v>
      </c>
      <c r="N36" s="64" t="n">
        <f aca="false">Margins!N34</f>
        <v>0.390738046959265</v>
      </c>
      <c r="O36" s="64" t="n">
        <f aca="false">Margins!O34</f>
        <v>0.360125099430996</v>
      </c>
      <c r="P36" s="64" t="n">
        <f aca="false">Margins!P34</f>
        <v>0.410626666019211</v>
      </c>
      <c r="Q36" s="64" t="n">
        <f aca="false">Margins!Q34</f>
        <v>0.285060506898258</v>
      </c>
      <c r="R36" s="64" t="n">
        <f aca="false">Margins!R34</f>
        <v>0.290364360870688</v>
      </c>
      <c r="S36" s="64" t="n">
        <f aca="false">Margins!S34</f>
        <v>0.329570666152211</v>
      </c>
      <c r="T36" s="64" t="n">
        <f aca="false">Margins!T34</f>
        <v>0.32653094364401</v>
      </c>
      <c r="U36" s="64" t="n">
        <f aca="false">Margins!U34</f>
        <v>0.283416906472758</v>
      </c>
      <c r="V36" s="64" t="n">
        <f aca="false">Margins!V34</f>
        <v>0.366738174694668</v>
      </c>
      <c r="W36" s="64" t="n">
        <f aca="false">Margins!W34</f>
        <v>0.298425096299245</v>
      </c>
      <c r="X36" s="64" t="n">
        <f aca="false">Margins!X34</f>
        <v>0.0418779648511631</v>
      </c>
      <c r="Y36" s="64" t="n">
        <f aca="false">Margins!Y34</f>
        <v>0.337825484447763</v>
      </c>
      <c r="Z36" s="64" t="n">
        <f aca="false">Margins!Z34</f>
        <v>0.376963842149643</v>
      </c>
      <c r="AA36" s="64" t="n">
        <f aca="false">Margins!AA34</f>
        <v>0.345262441556433</v>
      </c>
      <c r="AB36" s="64" t="n">
        <f aca="false">Margins!AB34</f>
        <v>0.342325165694702</v>
      </c>
    </row>
    <row r="37" customFormat="false" ht="15" hidden="false" customHeight="false" outlineLevel="0" collapsed="false">
      <c r="A37" s="27" t="s">
        <v>381</v>
      </c>
      <c r="B37" s="63" t="s">
        <v>57</v>
      </c>
      <c r="C37" s="72" t="n">
        <f aca="false">Rebates!C27</f>
        <v>0.0150000071034147</v>
      </c>
      <c r="D37" s="72" t="n">
        <f aca="false">Rebates!D27</f>
        <v>0.015</v>
      </c>
      <c r="E37" s="73" t="n">
        <f aca="false">Rebates!E27</f>
        <v>0.0150000071922473</v>
      </c>
      <c r="F37" s="73" t="n">
        <f aca="false">Rebates!F27</f>
        <v>0.0150000270191</v>
      </c>
      <c r="G37" s="73" t="n">
        <f aca="false">Rebates!G27</f>
        <v>0.0150000208618762</v>
      </c>
      <c r="H37" s="73" t="n">
        <f aca="false">Rebates!H27</f>
        <v>0.0149999964753991</v>
      </c>
      <c r="I37" s="73" t="n">
        <f aca="false">Rebates!I27</f>
        <v>0.0150000262019526</v>
      </c>
      <c r="J37" s="73" t="n">
        <f aca="false">Rebates!J27</f>
        <v>0.015000005860381</v>
      </c>
      <c r="K37" s="73" t="n">
        <f aca="false">Rebates!K27</f>
        <v>0.0149999974210081</v>
      </c>
      <c r="L37" s="73" t="n">
        <f aca="false">Rebates!L27</f>
        <v>0.0149999728212125</v>
      </c>
      <c r="M37" s="73" t="n">
        <f aca="false">Rebates!M27</f>
        <v>0.0150000099556366</v>
      </c>
      <c r="N37" s="73" t="n">
        <f aca="false">Rebates!N27</f>
        <v>0.015</v>
      </c>
      <c r="O37" s="73" t="n">
        <f aca="false">Rebates!O27</f>
        <v>0.015</v>
      </c>
      <c r="P37" s="73" t="n">
        <f aca="false">Rebates!P27</f>
        <v>0.015</v>
      </c>
      <c r="Q37" s="73" t="n">
        <f aca="false">Rebates!Q27</f>
        <v>0.015</v>
      </c>
      <c r="R37" s="73" t="n">
        <f aca="false">Rebates!R27</f>
        <v>0.015</v>
      </c>
      <c r="S37" s="73" t="n">
        <f aca="false">Rebates!S27</f>
        <v>0.015</v>
      </c>
      <c r="T37" s="73" t="n">
        <f aca="false">Rebates!T27</f>
        <v>0.015</v>
      </c>
      <c r="U37" s="73" t="n">
        <f aca="false">Rebates!U27</f>
        <v>0.015</v>
      </c>
      <c r="V37" s="73" t="n">
        <f aca="false">Rebates!V27</f>
        <v>0.015</v>
      </c>
      <c r="W37" s="73" t="n">
        <f aca="false">Rebates!W27</f>
        <v>0.015</v>
      </c>
      <c r="X37" s="73" t="n">
        <f aca="false">Rebates!X27</f>
        <v>0.015</v>
      </c>
      <c r="Y37" s="73" t="n">
        <f aca="false">Rebates!Y27</f>
        <v>0.015</v>
      </c>
      <c r="Z37" s="73" t="n">
        <f aca="false">Rebates!Z27</f>
        <v>0.015</v>
      </c>
      <c r="AA37" s="73" t="n">
        <f aca="false">Rebates!AA27</f>
        <v>0.015</v>
      </c>
      <c r="AB37" s="73" t="n">
        <f aca="false">Rebates!AB27</f>
        <v>0.015</v>
      </c>
    </row>
    <row r="38" customFormat="false" ht="15" hidden="false" customHeight="false" outlineLevel="0" collapsed="false">
      <c r="A38" s="27" t="s">
        <v>382</v>
      </c>
      <c r="B38" s="63" t="s">
        <v>51</v>
      </c>
      <c r="C38" s="65" t="n">
        <f aca="false">AVERAGE(E38:P38)</f>
        <v>0.702142656570593</v>
      </c>
      <c r="D38" s="65" t="n">
        <f aca="false">AVERAGE(Q38:AB38)</f>
        <v>0.747434331958569</v>
      </c>
      <c r="E38" s="64" t="n">
        <f aca="false">Projects!E178</f>
        <v>0.455599734923791</v>
      </c>
      <c r="F38" s="64" t="n">
        <f aca="false">Projects!F178</f>
        <v>0.568225744105141</v>
      </c>
      <c r="G38" s="64" t="n">
        <f aca="false">Projects!G178</f>
        <v>0.73057595670661</v>
      </c>
      <c r="H38" s="64" t="n">
        <f aca="false">Projects!H178</f>
        <v>0.754266763730486</v>
      </c>
      <c r="I38" s="64" t="n">
        <f aca="false">Projects!I178</f>
        <v>0.659917656868876</v>
      </c>
      <c r="J38" s="64" t="n">
        <f aca="false">Projects!J178</f>
        <v>0.662595378683707</v>
      </c>
      <c r="K38" s="64" t="n">
        <f aca="false">Projects!K178</f>
        <v>0.654618818681319</v>
      </c>
      <c r="L38" s="64" t="n">
        <f aca="false">Projects!L178</f>
        <v>0.401434374206651</v>
      </c>
      <c r="M38" s="64" t="n">
        <f aca="false">Projects!M178</f>
        <v>0.832709543116783</v>
      </c>
      <c r="N38" s="64" t="n">
        <f aca="false">Projects!N178</f>
        <v>0.942000420761861</v>
      </c>
      <c r="O38" s="64" t="n">
        <f aca="false">Projects!O178</f>
        <v>0.885265862518047</v>
      </c>
      <c r="P38" s="64" t="n">
        <f aca="false">Projects!P178</f>
        <v>0.878501624543847</v>
      </c>
      <c r="Q38" s="64" t="n">
        <f aca="false">Projects!Q178</f>
        <v>0.672138697777884</v>
      </c>
      <c r="R38" s="64" t="n">
        <f aca="false">Projects!R178</f>
        <v>0.716808929146396</v>
      </c>
      <c r="S38" s="64" t="n">
        <f aca="false">Projects!S178</f>
        <v>0.767952966177076</v>
      </c>
      <c r="T38" s="64" t="n">
        <f aca="false">Projects!T178</f>
        <v>0.773155996535326</v>
      </c>
      <c r="U38" s="64" t="n">
        <f aca="false">Projects!U178</f>
        <v>0.710594716639815</v>
      </c>
      <c r="V38" s="64" t="n">
        <f aca="false">Projects!V178</f>
        <v>0.833791686679708</v>
      </c>
      <c r="W38" s="64" t="n">
        <f aca="false">Projects!W178</f>
        <v>0.748204556514275</v>
      </c>
      <c r="X38" s="64" t="n">
        <f aca="false">Projects!X178</f>
        <v>0.535285277640512</v>
      </c>
      <c r="Y38" s="64" t="n">
        <f aca="false">Projects!Y178</f>
        <v>0.786791457734346</v>
      </c>
      <c r="Z38" s="64" t="n">
        <f aca="false">Projects!Z178</f>
        <v>0.840388919384831</v>
      </c>
      <c r="AA38" s="64" t="n">
        <f aca="false">Projects!AA178</f>
        <v>0.788206684264287</v>
      </c>
      <c r="AB38" s="64" t="n">
        <f aca="false">Projects!AB178</f>
        <v>0.795892095008365</v>
      </c>
    </row>
    <row r="39" customFormat="false" ht="15" hidden="false" customHeight="false" outlineLevel="0" collapsed="false">
      <c r="A39" s="27" t="s">
        <v>383</v>
      </c>
      <c r="B39" s="63" t="s">
        <v>51</v>
      </c>
      <c r="C39" s="66" t="n">
        <f aca="false">P39</f>
        <v>17600</v>
      </c>
      <c r="D39" s="66" t="n">
        <f aca="false">AB39</f>
        <v>0</v>
      </c>
      <c r="E39" s="67" t="n">
        <f aca="false">Projects!E161</f>
        <v>722040.12</v>
      </c>
      <c r="F39" s="67" t="n">
        <f aca="false">Projects!F161</f>
        <v>653398.69</v>
      </c>
      <c r="G39" s="67" t="n">
        <f aca="false">Projects!G161</f>
        <v>561728.53</v>
      </c>
      <c r="H39" s="67" t="n">
        <f aca="false">Projects!H161</f>
        <v>465677.23</v>
      </c>
      <c r="I39" s="67" t="n">
        <f aca="false">Projects!I161</f>
        <v>377028.12</v>
      </c>
      <c r="J39" s="67" t="n">
        <f aca="false">Projects!J161</f>
        <v>347174.51</v>
      </c>
      <c r="K39" s="67" t="n">
        <f aca="false">Projects!K161</f>
        <v>276050.8</v>
      </c>
      <c r="L39" s="67" t="n">
        <f aca="false">Projects!L161</f>
        <v>237279.03</v>
      </c>
      <c r="M39" s="67" t="n">
        <f aca="false">Projects!M161</f>
        <v>147197.238095238</v>
      </c>
      <c r="N39" s="67" t="n">
        <f aca="false">Projects!N161</f>
        <v>98455.6190476191</v>
      </c>
      <c r="O39" s="67" t="n">
        <f aca="false">Projects!O161</f>
        <v>49714</v>
      </c>
      <c r="P39" s="67" t="n">
        <f aca="false">Projects!P161</f>
        <v>17600</v>
      </c>
      <c r="Q39" s="67" t="n">
        <f aca="false">Projects!Q161</f>
        <v>0</v>
      </c>
      <c r="R39" s="67" t="n">
        <f aca="false">Projects!R161</f>
        <v>0</v>
      </c>
      <c r="S39" s="67" t="n">
        <f aca="false">Projects!S161</f>
        <v>0</v>
      </c>
      <c r="T39" s="67" t="n">
        <f aca="false">Projects!T161</f>
        <v>0</v>
      </c>
      <c r="U39" s="67" t="n">
        <f aca="false">Projects!U161</f>
        <v>0</v>
      </c>
      <c r="V39" s="67" t="n">
        <f aca="false">Projects!V161</f>
        <v>0</v>
      </c>
      <c r="W39" s="67" t="n">
        <f aca="false">Projects!W161</f>
        <v>0</v>
      </c>
      <c r="X39" s="67" t="n">
        <f aca="false">Projects!X161</f>
        <v>0</v>
      </c>
      <c r="Y39" s="67" t="n">
        <f aca="false">Projects!Y161</f>
        <v>0</v>
      </c>
      <c r="Z39" s="67" t="n">
        <f aca="false">Projects!Z161</f>
        <v>0</v>
      </c>
      <c r="AA39" s="67" t="n">
        <f aca="false">Projects!AA161</f>
        <v>0</v>
      </c>
      <c r="AB39" s="67" t="n">
        <f aca="false">Projects!AB161</f>
        <v>0</v>
      </c>
    </row>
    <row r="40" customFormat="false" ht="15" hidden="false" customHeight="false" outlineLevel="0" collapsed="false">
      <c r="A40" s="21" t="s">
        <v>384</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row>
    <row r="41" customFormat="false" ht="15" hidden="false" customHeight="false" outlineLevel="0" collapsed="false">
      <c r="A41" s="59" t="s">
        <v>385</v>
      </c>
      <c r="B41" s="60" t="s">
        <v>33</v>
      </c>
      <c r="C41" s="61" t="n">
        <f aca="false">P41</f>
        <v>704225.523172196</v>
      </c>
      <c r="D41" s="61" t="n">
        <f aca="false">AB41</f>
        <v>1204217.46963487</v>
      </c>
      <c r="E41" s="62" t="n">
        <f aca="false">BS!E9</f>
        <v>1081285.7015</v>
      </c>
      <c r="F41" s="62" t="n">
        <f aca="false">BS!F9</f>
        <v>1191256.17355</v>
      </c>
      <c r="G41" s="62" t="n">
        <f aca="false">BS!G9</f>
        <v>1285102.226625</v>
      </c>
      <c r="H41" s="62" t="n">
        <f aca="false">BS!H9</f>
        <v>1255629.589725</v>
      </c>
      <c r="I41" s="62" t="n">
        <f aca="false">BS!I9</f>
        <v>1151241.06535</v>
      </c>
      <c r="J41" s="62" t="n">
        <f aca="false">BS!J9</f>
        <v>880479.687449999</v>
      </c>
      <c r="K41" s="62" t="n">
        <f aca="false">BS!K9</f>
        <v>719668.270749998</v>
      </c>
      <c r="L41" s="62" t="n">
        <f aca="false">BS!L9</f>
        <v>842052.882849998</v>
      </c>
      <c r="M41" s="62" t="n">
        <f aca="false">BS!M9</f>
        <v>805903.217498883</v>
      </c>
      <c r="N41" s="62" t="n">
        <f aca="false">BS!N9</f>
        <v>747498.193180666</v>
      </c>
      <c r="O41" s="62" t="n">
        <f aca="false">BS!O9</f>
        <v>689023.011464358</v>
      </c>
      <c r="P41" s="62" t="n">
        <f aca="false">BS!P9</f>
        <v>704225.523172196</v>
      </c>
      <c r="Q41" s="62" t="n">
        <f aca="false">BS!Q9</f>
        <v>774924.957040646</v>
      </c>
      <c r="R41" s="62" t="n">
        <f aca="false">BS!R9</f>
        <v>843337.606739651</v>
      </c>
      <c r="S41" s="62" t="n">
        <f aca="false">BS!S9</f>
        <v>973624.402927203</v>
      </c>
      <c r="T41" s="62" t="n">
        <f aca="false">BS!T9</f>
        <v>1013620.04470379</v>
      </c>
      <c r="U41" s="62" t="n">
        <f aca="false">BS!U9</f>
        <v>1122811.40593551</v>
      </c>
      <c r="V41" s="62" t="n">
        <f aca="false">BS!V9</f>
        <v>1067687.99552386</v>
      </c>
      <c r="W41" s="62" t="n">
        <f aca="false">BS!W9</f>
        <v>997915.305979996</v>
      </c>
      <c r="X41" s="62" t="n">
        <f aca="false">BS!X9</f>
        <v>1190957.87565018</v>
      </c>
      <c r="Y41" s="62" t="n">
        <f aca="false">BS!Y9</f>
        <v>1267478.33340301</v>
      </c>
      <c r="Z41" s="62" t="n">
        <f aca="false">BS!Z9</f>
        <v>1207475.59812654</v>
      </c>
      <c r="AA41" s="62" t="n">
        <f aca="false">BS!AA9</f>
        <v>1198311.33665152</v>
      </c>
      <c r="AB41" s="62" t="n">
        <f aca="false">BS!AB9</f>
        <v>1204217.46963487</v>
      </c>
    </row>
    <row r="42" customFormat="false" ht="15" hidden="false" customHeight="false" outlineLevel="0" collapsed="false">
      <c r="A42" s="27" t="s">
        <v>386</v>
      </c>
      <c r="B42" s="63" t="s">
        <v>86</v>
      </c>
      <c r="C42" s="66" t="n">
        <f aca="false">P42</f>
        <v>400000</v>
      </c>
      <c r="D42" s="66" t="n">
        <f aca="false">AB42</f>
        <v>400000</v>
      </c>
      <c r="E42" s="67" t="n">
        <f aca="false">Assumptions!$C$13</f>
        <v>400000</v>
      </c>
      <c r="F42" s="67" t="n">
        <f aca="false">Assumptions!$C$13</f>
        <v>400000</v>
      </c>
      <c r="G42" s="67" t="n">
        <f aca="false">Assumptions!$C$13</f>
        <v>400000</v>
      </c>
      <c r="H42" s="67" t="n">
        <f aca="false">Assumptions!$C$13</f>
        <v>400000</v>
      </c>
      <c r="I42" s="67" t="n">
        <f aca="false">Assumptions!$C$13</f>
        <v>400000</v>
      </c>
      <c r="J42" s="67" t="n">
        <f aca="false">Assumptions!$C$13</f>
        <v>400000</v>
      </c>
      <c r="K42" s="67" t="n">
        <f aca="false">Assumptions!$C$13</f>
        <v>400000</v>
      </c>
      <c r="L42" s="67" t="n">
        <f aca="false">Assumptions!$C$13</f>
        <v>400000</v>
      </c>
      <c r="M42" s="67" t="n">
        <f aca="false">Assumptions!$C$13</f>
        <v>400000</v>
      </c>
      <c r="N42" s="67" t="n">
        <f aca="false">Assumptions!$C$13</f>
        <v>400000</v>
      </c>
      <c r="O42" s="67" t="n">
        <f aca="false">Assumptions!$C$13</f>
        <v>400000</v>
      </c>
      <c r="P42" s="67" t="n">
        <f aca="false">Assumptions!$C$13</f>
        <v>400000</v>
      </c>
      <c r="Q42" s="67" t="n">
        <f aca="false">Assumptions!$C$13</f>
        <v>400000</v>
      </c>
      <c r="R42" s="67" t="n">
        <f aca="false">Assumptions!$C$13</f>
        <v>400000</v>
      </c>
      <c r="S42" s="67" t="n">
        <f aca="false">Assumptions!$C$13</f>
        <v>400000</v>
      </c>
      <c r="T42" s="67" t="n">
        <f aca="false">Assumptions!$C$13</f>
        <v>400000</v>
      </c>
      <c r="U42" s="67" t="n">
        <f aca="false">Assumptions!$C$13</f>
        <v>400000</v>
      </c>
      <c r="V42" s="67" t="n">
        <f aca="false">Assumptions!$C$13</f>
        <v>400000</v>
      </c>
      <c r="W42" s="67" t="n">
        <f aca="false">Assumptions!$C$13</f>
        <v>400000</v>
      </c>
      <c r="X42" s="67" t="n">
        <f aca="false">Assumptions!$C$13</f>
        <v>400000</v>
      </c>
      <c r="Y42" s="67" t="n">
        <f aca="false">Assumptions!$C$13</f>
        <v>400000</v>
      </c>
      <c r="Z42" s="67" t="n">
        <f aca="false">Assumptions!$C$13</f>
        <v>400000</v>
      </c>
      <c r="AA42" s="67" t="n">
        <f aca="false">Assumptions!$C$13</f>
        <v>400000</v>
      </c>
      <c r="AB42" s="67" t="n">
        <f aca="false">Assumptions!$C$13</f>
        <v>400000</v>
      </c>
    </row>
    <row r="43" customFormat="false" ht="15" hidden="false" customHeight="false" outlineLevel="0" collapsed="false">
      <c r="A43" s="27" t="s">
        <v>387</v>
      </c>
      <c r="B43" s="63"/>
      <c r="C43" s="66" t="n">
        <f aca="false">P43</f>
        <v>304225.523172196</v>
      </c>
      <c r="D43" s="66" t="n">
        <f aca="false">AB43</f>
        <v>804217.469634865</v>
      </c>
      <c r="E43" s="76" t="n">
        <f aca="false">E41-E42</f>
        <v>681285.7015</v>
      </c>
      <c r="F43" s="76" t="n">
        <f aca="false">F41-F42</f>
        <v>791256.17355</v>
      </c>
      <c r="G43" s="76" t="n">
        <f aca="false">G41-G42</f>
        <v>885102.226625</v>
      </c>
      <c r="H43" s="76" t="n">
        <f aca="false">H41-H42</f>
        <v>855629.589724999</v>
      </c>
      <c r="I43" s="76" t="n">
        <f aca="false">I41-I42</f>
        <v>751241.065349999</v>
      </c>
      <c r="J43" s="76" t="n">
        <f aca="false">J41-J42</f>
        <v>480479.687449999</v>
      </c>
      <c r="K43" s="76" t="n">
        <f aca="false">K41-K42</f>
        <v>319668.270749998</v>
      </c>
      <c r="L43" s="76" t="n">
        <f aca="false">L41-L42</f>
        <v>442052.882849998</v>
      </c>
      <c r="M43" s="76" t="n">
        <f aca="false">M41-M42</f>
        <v>405903.217498883</v>
      </c>
      <c r="N43" s="76" t="n">
        <f aca="false">N41-N42</f>
        <v>347498.193180666</v>
      </c>
      <c r="O43" s="76" t="n">
        <f aca="false">O41-O42</f>
        <v>289023.011464358</v>
      </c>
      <c r="P43" s="76" t="n">
        <f aca="false">P41-P42</f>
        <v>304225.523172196</v>
      </c>
      <c r="Q43" s="76" t="n">
        <f aca="false">Q41-Q42</f>
        <v>374924.957040646</v>
      </c>
      <c r="R43" s="76" t="n">
        <f aca="false">R41-R42</f>
        <v>443337.606739651</v>
      </c>
      <c r="S43" s="76" t="n">
        <f aca="false">S41-S42</f>
        <v>573624.402927203</v>
      </c>
      <c r="T43" s="76" t="n">
        <f aca="false">T41-T42</f>
        <v>613620.044703791</v>
      </c>
      <c r="U43" s="76" t="n">
        <f aca="false">U41-U42</f>
        <v>722811.405935505</v>
      </c>
      <c r="V43" s="76" t="n">
        <f aca="false">V41-V42</f>
        <v>667687.995523865</v>
      </c>
      <c r="W43" s="76" t="n">
        <f aca="false">W41-W42</f>
        <v>597915.305979996</v>
      </c>
      <c r="X43" s="76" t="n">
        <f aca="false">X41-X42</f>
        <v>790957.875650181</v>
      </c>
      <c r="Y43" s="76" t="n">
        <f aca="false">Y41-Y42</f>
        <v>867478.33340301</v>
      </c>
      <c r="Z43" s="76" t="n">
        <f aca="false">Z41-Z42</f>
        <v>807475.598126537</v>
      </c>
      <c r="AA43" s="76" t="n">
        <f aca="false">AA41-AA42</f>
        <v>798311.33665152</v>
      </c>
      <c r="AB43" s="76" t="n">
        <f aca="false">AB41-AB42</f>
        <v>804217.469634865</v>
      </c>
    </row>
    <row r="44" customFormat="false" ht="15" hidden="false" customHeight="false" outlineLevel="0" collapsed="false">
      <c r="A44" s="27" t="s">
        <v>388</v>
      </c>
      <c r="B44" s="63" t="s">
        <v>79</v>
      </c>
      <c r="C44" s="66" t="n">
        <f aca="false">P44</f>
        <v>900000.04</v>
      </c>
      <c r="D44" s="66" t="n">
        <f aca="false">AB44</f>
        <v>500000.08</v>
      </c>
      <c r="E44" s="67" t="n">
        <f aca="false">Financing!E12</f>
        <v>1266666.67</v>
      </c>
      <c r="F44" s="67" t="n">
        <f aca="false">Financing!F12</f>
        <v>1233333.34</v>
      </c>
      <c r="G44" s="67" t="n">
        <f aca="false">Financing!G12</f>
        <v>1200000.01</v>
      </c>
      <c r="H44" s="67" t="n">
        <f aca="false">Financing!H12</f>
        <v>1166666.68</v>
      </c>
      <c r="I44" s="67" t="n">
        <f aca="false">Financing!I12</f>
        <v>1133333.35</v>
      </c>
      <c r="J44" s="67" t="n">
        <f aca="false">Financing!J12</f>
        <v>1100000.02</v>
      </c>
      <c r="K44" s="67" t="n">
        <f aca="false">Financing!K12</f>
        <v>1066666.69</v>
      </c>
      <c r="L44" s="67" t="n">
        <f aca="false">Financing!L12</f>
        <v>1033333.36</v>
      </c>
      <c r="M44" s="67" t="n">
        <f aca="false">Financing!M12</f>
        <v>1000000.03</v>
      </c>
      <c r="N44" s="67" t="n">
        <f aca="false">Financing!N12</f>
        <v>966666.7</v>
      </c>
      <c r="O44" s="67" t="n">
        <f aca="false">Financing!O12</f>
        <v>933333.37</v>
      </c>
      <c r="P44" s="67" t="n">
        <f aca="false">Financing!P12</f>
        <v>900000.04</v>
      </c>
      <c r="Q44" s="67" t="n">
        <f aca="false">Financing!Q12</f>
        <v>866666.71</v>
      </c>
      <c r="R44" s="67" t="n">
        <f aca="false">Financing!R12</f>
        <v>833333.38</v>
      </c>
      <c r="S44" s="67" t="n">
        <f aca="false">Financing!S12</f>
        <v>800000.05</v>
      </c>
      <c r="T44" s="67" t="n">
        <f aca="false">Financing!T12</f>
        <v>766666.72</v>
      </c>
      <c r="U44" s="67" t="n">
        <f aca="false">Financing!U12</f>
        <v>733333.39</v>
      </c>
      <c r="V44" s="67" t="n">
        <f aca="false">Financing!V12</f>
        <v>700000.06</v>
      </c>
      <c r="W44" s="67" t="n">
        <f aca="false">Financing!W12</f>
        <v>666666.73</v>
      </c>
      <c r="X44" s="67" t="n">
        <f aca="false">Financing!X12</f>
        <v>633333.4</v>
      </c>
      <c r="Y44" s="67" t="n">
        <f aca="false">Financing!Y12</f>
        <v>600000.07</v>
      </c>
      <c r="Z44" s="67" t="n">
        <f aca="false">Financing!Z12</f>
        <v>566666.74</v>
      </c>
      <c r="AA44" s="67" t="n">
        <f aca="false">Financing!AA12</f>
        <v>533333.41</v>
      </c>
      <c r="AB44" s="67" t="n">
        <f aca="false">Financing!AB12</f>
        <v>500000.08</v>
      </c>
    </row>
    <row r="45" customFormat="false" ht="15" hidden="false" customHeight="false" outlineLevel="0" collapsed="false">
      <c r="A45" s="27" t="s">
        <v>389</v>
      </c>
      <c r="B45" s="63" t="s">
        <v>79</v>
      </c>
      <c r="C45" s="66" t="n">
        <f aca="false">P45</f>
        <v>195774.516827804</v>
      </c>
      <c r="D45" s="66" t="n">
        <f aca="false">AB45</f>
        <v>-704217.389634865</v>
      </c>
      <c r="E45" s="67" t="n">
        <f aca="false">Financing!E15</f>
        <v>185380.9685</v>
      </c>
      <c r="F45" s="67" t="n">
        <f aca="false">Financing!F15</f>
        <v>42077.1664500001</v>
      </c>
      <c r="G45" s="67" t="n">
        <f aca="false">Financing!G15</f>
        <v>-85102.2166249999</v>
      </c>
      <c r="H45" s="67" t="n">
        <f aca="false">Financing!H15</f>
        <v>-88962.9097249997</v>
      </c>
      <c r="I45" s="67" t="n">
        <f aca="false">Financing!I15</f>
        <v>-17907.7153499995</v>
      </c>
      <c r="J45" s="67" t="n">
        <f aca="false">Financing!J15</f>
        <v>219520.332550001</v>
      </c>
      <c r="K45" s="67" t="n">
        <f aca="false">Financing!K15</f>
        <v>346998.419250001</v>
      </c>
      <c r="L45" s="67" t="n">
        <f aca="false">Financing!L15</f>
        <v>191280.477150001</v>
      </c>
      <c r="M45" s="67" t="n">
        <f aca="false">Financing!M15</f>
        <v>194096.812501117</v>
      </c>
      <c r="N45" s="67" t="n">
        <f aca="false">Financing!N15</f>
        <v>219168.506819333</v>
      </c>
      <c r="O45" s="67" t="n">
        <f aca="false">Financing!O15</f>
        <v>244310.358535641</v>
      </c>
      <c r="P45" s="67" t="n">
        <f aca="false">Financing!P15</f>
        <v>195774.516827804</v>
      </c>
      <c r="Q45" s="67" t="n">
        <f aca="false">Financing!Q15</f>
        <v>91741.7529593535</v>
      </c>
      <c r="R45" s="67" t="n">
        <f aca="false">Financing!R15</f>
        <v>-10004.2267396507</v>
      </c>
      <c r="S45" s="67" t="n">
        <f aca="false">Financing!S15</f>
        <v>-173624.352927203</v>
      </c>
      <c r="T45" s="67" t="n">
        <f aca="false">Financing!T15</f>
        <v>-246953.324703791</v>
      </c>
      <c r="U45" s="67" t="n">
        <f aca="false">Financing!U15</f>
        <v>-389478.015935505</v>
      </c>
      <c r="V45" s="67" t="n">
        <f aca="false">Financing!V15</f>
        <v>-367687.935523865</v>
      </c>
      <c r="W45" s="67" t="n">
        <f aca="false">Financing!W15</f>
        <v>-331248.575979996</v>
      </c>
      <c r="X45" s="67" t="n">
        <f aca="false">Financing!X15</f>
        <v>-557624.475650181</v>
      </c>
      <c r="Y45" s="67" t="n">
        <f aca="false">Financing!Y15</f>
        <v>-667478.26340301</v>
      </c>
      <c r="Z45" s="67" t="n">
        <f aca="false">Financing!Z15</f>
        <v>-640808.858126537</v>
      </c>
      <c r="AA45" s="67" t="n">
        <f aca="false">Financing!AA15</f>
        <v>-664977.92665152</v>
      </c>
      <c r="AB45" s="67" t="n">
        <f aca="false">Financing!AB15</f>
        <v>-704217.389634865</v>
      </c>
    </row>
    <row r="46" customFormat="false" ht="15" hidden="false" customHeight="false" outlineLevel="0" collapsed="false">
      <c r="A46" s="27" t="s">
        <v>390</v>
      </c>
      <c r="B46" s="63" t="s">
        <v>79</v>
      </c>
      <c r="C46" s="77" t="n">
        <f aca="false">P46</f>
        <v>0.226795204636823</v>
      </c>
      <c r="D46" s="77" t="n">
        <f aca="false">AB46</f>
        <v>-0.665221288070152</v>
      </c>
      <c r="E46" s="78" t="n">
        <f aca="false">Financing!E16</f>
        <v>0.141798142472248</v>
      </c>
      <c r="F46" s="78" t="n">
        <f aca="false">Financing!F16</f>
        <v>0.0329818666795601</v>
      </c>
      <c r="G46" s="78" t="n">
        <f aca="false">Financing!G16</f>
        <v>-0.0680757443125613</v>
      </c>
      <c r="H46" s="78" t="n">
        <f aca="false">Financing!H16</f>
        <v>-0.0722318126994752</v>
      </c>
      <c r="I46" s="78" t="n">
        <f aca="false">Financing!I16</f>
        <v>-0.0148566319925358</v>
      </c>
      <c r="J46" s="78" t="n">
        <f aca="false">Financing!J16</f>
        <v>0.201883482027815</v>
      </c>
      <c r="K46" s="78" t="n">
        <f aca="false">Financing!K16</f>
        <v>0.33133584986362</v>
      </c>
      <c r="L46" s="78" t="n">
        <f aca="false">Financing!L16</f>
        <v>0.187111887335061</v>
      </c>
      <c r="M46" s="78" t="n">
        <f aca="false">Financing!M16</f>
        <v>0.196399444184856</v>
      </c>
      <c r="N46" s="78" t="n">
        <f aca="false">Financing!N16</f>
        <v>0.232236713547356</v>
      </c>
      <c r="O46" s="78" t="n">
        <f aca="false">Financing!O16</f>
        <v>0.271776573666951</v>
      </c>
      <c r="P46" s="78" t="n">
        <f aca="false">Financing!P16</f>
        <v>0.226795204636823</v>
      </c>
      <c r="Q46" s="78" t="n">
        <f aca="false">Financing!Q16</f>
        <v>0.103600449858724</v>
      </c>
      <c r="R46" s="78" t="n">
        <f aca="false">Financing!R16</f>
        <v>-0.0110057251589699</v>
      </c>
      <c r="S46" s="78" t="n">
        <f aca="false">Financing!S16</f>
        <v>-0.190192025787064</v>
      </c>
      <c r="T46" s="78" t="n">
        <f aca="false">Financing!T16</f>
        <v>-0.270892352234409</v>
      </c>
      <c r="U46" s="78" t="n">
        <f aca="false">Financing!U16</f>
        <v>-0.423567778525604</v>
      </c>
      <c r="V46" s="78" t="n">
        <f aca="false">Financing!V16</f>
        <v>-0.366018269684103</v>
      </c>
      <c r="W46" s="78" t="n">
        <f aca="false">Financing!W16</f>
        <v>-0.323126226189105</v>
      </c>
      <c r="X46" s="78" t="n">
        <f aca="false">Financing!X16</f>
        <v>-0.533468954932445</v>
      </c>
      <c r="Y46" s="78" t="n">
        <f aca="false">Financing!Y16</f>
        <v>-0.637726904922263</v>
      </c>
      <c r="Z46" s="78" t="n">
        <f aca="false">Financing!Z16</f>
        <v>-0.608264865185557</v>
      </c>
      <c r="AA46" s="78" t="n">
        <f aca="false">Financing!AA16</f>
        <v>-0.626998838289114</v>
      </c>
      <c r="AB46" s="78" t="n">
        <f aca="false">Financing!AB16</f>
        <v>-0.665221288070152</v>
      </c>
    </row>
    <row r="47" customFormat="false" ht="15" hidden="false" customHeight="false" outlineLevel="0" collapsed="false">
      <c r="A47" s="27" t="s">
        <v>391</v>
      </c>
      <c r="B47" s="63" t="s">
        <v>79</v>
      </c>
      <c r="C47" s="77" t="n">
        <f aca="false">P47</f>
        <v>1.08826848164651</v>
      </c>
      <c r="D47" s="77" t="n">
        <f aca="false">AB47</f>
        <v>2.23110804540934</v>
      </c>
      <c r="E47" s="78" t="n">
        <f aca="false">Financing!E20</f>
        <v>2.38873703487306</v>
      </c>
      <c r="F47" s="78" t="n">
        <f aca="false">Financing!F20</f>
        <v>2.32755679395833</v>
      </c>
      <c r="G47" s="78" t="n">
        <f aca="false">Financing!G20</f>
        <v>2.25673102068291</v>
      </c>
      <c r="H47" s="78" t="n">
        <f aca="false">Financing!H20</f>
        <v>2.22445416837647</v>
      </c>
      <c r="I47" s="78" t="n">
        <f aca="false">Financing!I20</f>
        <v>2.2213346385638</v>
      </c>
      <c r="J47" s="78" t="n">
        <f aca="false">Financing!J20</f>
        <v>1.73868606406325</v>
      </c>
      <c r="K47" s="78" t="n">
        <f aca="false">Financing!K20</f>
        <v>1.59845787945983</v>
      </c>
      <c r="L47" s="78" t="n">
        <f aca="false">Financing!L20</f>
        <v>1.54916681084957</v>
      </c>
      <c r="M47" s="78" t="n">
        <f aca="false">Financing!M20</f>
        <v>1.42379393285322</v>
      </c>
      <c r="N47" s="78" t="n">
        <f aca="false">Financing!N20</f>
        <v>1.32237199436583</v>
      </c>
      <c r="O47" s="78" t="n">
        <f aca="false">Financing!O20</f>
        <v>1.22086710010746</v>
      </c>
      <c r="P47" s="78" t="n">
        <f aca="false">Financing!P20</f>
        <v>1.08826848164651</v>
      </c>
      <c r="Q47" s="78" t="n">
        <f aca="false">Financing!Q20</f>
        <v>1.12645809727349</v>
      </c>
      <c r="R47" s="78" t="n">
        <f aca="false">Financing!R20</f>
        <v>1.18178256881213</v>
      </c>
      <c r="S47" s="78" t="n">
        <f aca="false">Financing!S20</f>
        <v>1.21328529225587</v>
      </c>
      <c r="T47" s="78" t="n">
        <f aca="false">Financing!T20</f>
        <v>1.20901785566205</v>
      </c>
      <c r="U47" s="78" t="n">
        <f aca="false">Financing!U20</f>
        <v>1.2283252334932</v>
      </c>
      <c r="V47" s="78" t="n">
        <f aca="false">Financing!V20</f>
        <v>1.65830066234248</v>
      </c>
      <c r="W47" s="78" t="n">
        <f aca="false">Financing!W20</f>
        <v>1.78338131957209</v>
      </c>
      <c r="X47" s="78" t="n">
        <f aca="false">Financing!X20</f>
        <v>1.83311760430531</v>
      </c>
      <c r="Y47" s="78" t="n">
        <f aca="false">Financing!Y20</f>
        <v>2.09414602425387</v>
      </c>
      <c r="Z47" s="78" t="n">
        <f aca="false">Financing!Z20</f>
        <v>2.12415906928647</v>
      </c>
      <c r="AA47" s="78" t="n">
        <f aca="false">Financing!AA20</f>
        <v>2.15399798968345</v>
      </c>
      <c r="AB47" s="78" t="n">
        <f aca="false">Financing!AB20</f>
        <v>2.23110804540934</v>
      </c>
    </row>
    <row r="48" customFormat="false" ht="15" hidden="false" customHeight="false" outlineLevel="0" collapsed="false">
      <c r="A48" s="27" t="s">
        <v>392</v>
      </c>
      <c r="B48" s="63" t="s">
        <v>63</v>
      </c>
      <c r="C48" s="74" t="n">
        <f aca="false">P48</f>
        <v>39.6908980488908</v>
      </c>
      <c r="D48" s="74" t="n">
        <f aca="false">AB48</f>
        <v>39.8644133590158</v>
      </c>
      <c r="E48" s="75" t="n">
        <f aca="false">Receivables!E46</f>
        <v>40.8928644825996</v>
      </c>
      <c r="F48" s="75" t="n">
        <f aca="false">Receivables!F46</f>
        <v>36.4221672137063</v>
      </c>
      <c r="G48" s="75" t="n">
        <f aca="false">Receivables!G46</f>
        <v>37.7171223862462</v>
      </c>
      <c r="H48" s="75" t="n">
        <f aca="false">Receivables!H46</f>
        <v>41.7718686363068</v>
      </c>
      <c r="I48" s="75" t="n">
        <f aca="false">Receivables!I46</f>
        <v>39.2765589626588</v>
      </c>
      <c r="J48" s="75" t="n">
        <f aca="false">Receivables!J46</f>
        <v>40.1042087519399</v>
      </c>
      <c r="K48" s="75" t="n">
        <f aca="false">Receivables!K46</f>
        <v>40.9639542731009</v>
      </c>
      <c r="L48" s="75" t="n">
        <f aca="false">Receivables!L46</f>
        <v>37.2790524694909</v>
      </c>
      <c r="M48" s="75" t="n">
        <f aca="false">Receivables!M46</f>
        <v>44.5695427031609</v>
      </c>
      <c r="N48" s="75" t="n">
        <f aca="false">Receivables!N46</f>
        <v>45.3279975179645</v>
      </c>
      <c r="O48" s="75" t="n">
        <f aca="false">Receivables!O46</f>
        <v>42.3073559765661</v>
      </c>
      <c r="P48" s="75" t="n">
        <f aca="false">Receivables!P46</f>
        <v>39.6908980488908</v>
      </c>
      <c r="Q48" s="75" t="n">
        <f aca="false">Receivables!Q46</f>
        <v>43.6909353373686</v>
      </c>
      <c r="R48" s="75" t="n">
        <f aca="false">Receivables!R46</f>
        <v>38.4530528858768</v>
      </c>
      <c r="S48" s="75" t="n">
        <f aca="false">Receivables!S46</f>
        <v>36.9075630562097</v>
      </c>
      <c r="T48" s="75" t="n">
        <f aca="false">Receivables!T46</f>
        <v>39.5206665671186</v>
      </c>
      <c r="U48" s="75" t="n">
        <f aca="false">Receivables!U46</f>
        <v>40.2427415721593</v>
      </c>
      <c r="V48" s="75" t="n">
        <f aca="false">Receivables!V46</f>
        <v>41.496136374196</v>
      </c>
      <c r="W48" s="75" t="n">
        <f aca="false">Receivables!W46</f>
        <v>40.0695882900385</v>
      </c>
      <c r="X48" s="75" t="n">
        <f aca="false">Receivables!X46</f>
        <v>36.3599507009828</v>
      </c>
      <c r="Y48" s="75" t="n">
        <f aca="false">Receivables!Y46</f>
        <v>43.5441732531646</v>
      </c>
      <c r="Z48" s="75" t="n">
        <f aca="false">Receivables!Z46</f>
        <v>45.3328926178182</v>
      </c>
      <c r="AA48" s="75" t="n">
        <f aca="false">Receivables!AA46</f>
        <v>39.7976140375699</v>
      </c>
      <c r="AB48" s="75" t="n">
        <f aca="false">Receivables!AB46</f>
        <v>39.8644133590158</v>
      </c>
    </row>
    <row r="49" customFormat="false" ht="15" hidden="false" customHeight="false" outlineLevel="0" collapsed="false">
      <c r="A49" s="27" t="s">
        <v>393</v>
      </c>
      <c r="B49" s="63" t="s">
        <v>30</v>
      </c>
      <c r="C49" s="66" t="n">
        <f aca="false">SUM(E49:P49)</f>
        <v>863221.588575057</v>
      </c>
      <c r="D49" s="66" t="n">
        <f aca="false">SUM(Q49:AB49)</f>
        <v>1058621.24719106</v>
      </c>
      <c r="E49" s="67" t="n">
        <f aca="false">PL!E45</f>
        <v>45992.7495782345</v>
      </c>
      <c r="F49" s="67" t="n">
        <f aca="false">PL!F45</f>
        <v>56946.4872689779</v>
      </c>
      <c r="G49" s="67" t="n">
        <f aca="false">PL!G45</f>
        <v>76787.6968163968</v>
      </c>
      <c r="H49" s="67" t="n">
        <f aca="false">PL!H45</f>
        <v>90078.0712579579</v>
      </c>
      <c r="I49" s="67" t="n">
        <f aca="false">PL!I45</f>
        <v>69717.8865257659</v>
      </c>
      <c r="J49" s="67" t="n">
        <f aca="false">PL!J45</f>
        <v>14666.2617748638</v>
      </c>
      <c r="K49" s="67" t="n">
        <f aca="false">PL!K45</f>
        <v>71880.7739232819</v>
      </c>
      <c r="L49" s="67" t="n">
        <f aca="false">PL!L45</f>
        <v>52553.237091967</v>
      </c>
      <c r="M49" s="67" t="n">
        <f aca="false">PL!M45</f>
        <v>99203.2086737437</v>
      </c>
      <c r="N49" s="67" t="n">
        <f aca="false">PL!N45</f>
        <v>94200.7741358046</v>
      </c>
      <c r="O49" s="67" t="n">
        <f aca="false">PL!O45</f>
        <v>88323.3366784056</v>
      </c>
      <c r="P49" s="67" t="n">
        <f aca="false">PL!P45</f>
        <v>102871.104849657</v>
      </c>
      <c r="Q49" s="67" t="n">
        <f aca="false">PL!Q45</f>
        <v>68305.4717562482</v>
      </c>
      <c r="R49" s="67" t="n">
        <f aca="false">PL!R45</f>
        <v>80414.2272800989</v>
      </c>
      <c r="S49" s="67" t="n">
        <f aca="false">PL!S45</f>
        <v>80675.4068542222</v>
      </c>
      <c r="T49" s="67" t="n">
        <f aca="false">PL!T45</f>
        <v>88817.3124076</v>
      </c>
      <c r="U49" s="67" t="n">
        <f aca="false">PL!U45</f>
        <v>77606.4581044598</v>
      </c>
      <c r="V49" s="67" t="n">
        <f aca="false">PL!V45</f>
        <v>99710.3890612567</v>
      </c>
      <c r="W49" s="67" t="n">
        <f aca="false">PL!W45</f>
        <v>92455.8436085304</v>
      </c>
      <c r="X49" s="67" t="n">
        <f aca="false">PL!X45</f>
        <v>72696.5536398273</v>
      </c>
      <c r="Y49" s="67" t="n">
        <f aca="false">PL!Y45</f>
        <v>100575.314358919</v>
      </c>
      <c r="Z49" s="67" t="n">
        <f aca="false">PL!Z45</f>
        <v>101051.577880856</v>
      </c>
      <c r="AA49" s="67" t="n">
        <f aca="false">PL!AA45</f>
        <v>95393.1611401301</v>
      </c>
      <c r="AB49" s="67" t="n">
        <f aca="false">PL!AB45</f>
        <v>100919.531098907</v>
      </c>
    </row>
    <row r="50" customFormat="false" ht="15" hidden="false" customHeight="false" outlineLevel="0" collapsed="false">
      <c r="A50" s="27" t="s">
        <v>394</v>
      </c>
      <c r="B50" s="63" t="s">
        <v>30</v>
      </c>
      <c r="C50" s="65" t="n">
        <f aca="false">PL!C46</f>
        <v>0.114605529295807</v>
      </c>
      <c r="D50" s="65" t="n">
        <f aca="false">PL!D46</f>
        <v>0.12903031057858</v>
      </c>
      <c r="E50" s="64" t="n">
        <f aca="false">PL!E46</f>
        <v>0.0813328681861261</v>
      </c>
      <c r="F50" s="64" t="n">
        <f aca="false">PL!F46</f>
        <v>0.0954053958069463</v>
      </c>
      <c r="G50" s="64" t="n">
        <f aca="false">PL!G46</f>
        <v>0.117495371590215</v>
      </c>
      <c r="H50" s="64" t="n">
        <f aca="false">PL!H46</f>
        <v>0.142206198210634</v>
      </c>
      <c r="I50" s="64" t="n">
        <f aca="false">PL!I46</f>
        <v>0.110288091434878</v>
      </c>
      <c r="J50" s="64" t="n">
        <f aca="false">PL!J46</f>
        <v>0.0243529291402583</v>
      </c>
      <c r="K50" s="64" t="n">
        <f aca="false">PL!K46</f>
        <v>0.119323086692472</v>
      </c>
      <c r="L50" s="64" t="n">
        <f aca="false">PL!L46</f>
        <v>0.10581384112269</v>
      </c>
      <c r="M50" s="64" t="n">
        <f aca="false">PL!M46</f>
        <v>0.146488317900207</v>
      </c>
      <c r="N50" s="64" t="n">
        <f aca="false">PL!N46</f>
        <v>0.13080341478178</v>
      </c>
      <c r="O50" s="64" t="n">
        <f aca="false">PL!O46</f>
        <v>0.129349341701457</v>
      </c>
      <c r="P50" s="64" t="n">
        <f aca="false">PL!P46</f>
        <v>0.153742768333424</v>
      </c>
      <c r="Q50" s="64" t="n">
        <f aca="false">PL!Q46</f>
        <v>0.106176949544525</v>
      </c>
      <c r="R50" s="64" t="n">
        <f aca="false">PL!R46</f>
        <v>0.121671404152265</v>
      </c>
      <c r="S50" s="64" t="n">
        <f aca="false">PL!S46</f>
        <v>0.115849946414887</v>
      </c>
      <c r="T50" s="64" t="n">
        <f aca="false">PL!T46</f>
        <v>0.131622143033172</v>
      </c>
      <c r="U50" s="64" t="n">
        <f aca="false">PL!U46</f>
        <v>0.113841512371341</v>
      </c>
      <c r="V50" s="64" t="n">
        <f aca="false">PL!V46</f>
        <v>0.138539935324924</v>
      </c>
      <c r="W50" s="64" t="n">
        <f aca="false">PL!W46</f>
        <v>0.139424980297183</v>
      </c>
      <c r="X50" s="64" t="n">
        <f aca="false">PL!X46</f>
        <v>0.129105271386668</v>
      </c>
      <c r="Y50" s="64" t="n">
        <f aca="false">PL!Y46</f>
        <v>0.137777815753599</v>
      </c>
      <c r="Z50" s="64" t="n">
        <f aca="false">PL!Z46</f>
        <v>0.132523684291928</v>
      </c>
      <c r="AA50" s="64" t="n">
        <f aca="false">PL!AA46</f>
        <v>0.133384792308388</v>
      </c>
      <c r="AB50" s="64" t="n">
        <f aca="false">PL!AB46</f>
        <v>0.145472445891176</v>
      </c>
    </row>
    <row r="51" customFormat="false" ht="15" hidden="false" customHeight="false" outlineLevel="0" collapsed="false">
      <c r="A51" s="27" t="s">
        <v>395</v>
      </c>
      <c r="B51" s="63" t="s">
        <v>35</v>
      </c>
      <c r="C51" s="66" t="n">
        <f aca="false">SUM(E51:P51)</f>
        <v>514225.483172197</v>
      </c>
      <c r="D51" s="66" t="n">
        <f aca="false">SUM(Q51:AB51)</f>
        <v>899991.906462668</v>
      </c>
      <c r="E51" s="67" t="n">
        <f aca="false">CF!E32</f>
        <v>164619.0315</v>
      </c>
      <c r="F51" s="67" t="n">
        <f aca="false">CF!F32</f>
        <v>143303.80205</v>
      </c>
      <c r="G51" s="67" t="n">
        <f aca="false">CF!G32</f>
        <v>127179.383075</v>
      </c>
      <c r="H51" s="67" t="n">
        <f aca="false">CF!H32</f>
        <v>3860.69309999988</v>
      </c>
      <c r="I51" s="67" t="n">
        <f aca="false">CF!I32</f>
        <v>188144.805625</v>
      </c>
      <c r="J51" s="67" t="n">
        <f aca="false">CF!J32</f>
        <v>-136628.0479</v>
      </c>
      <c r="K51" s="67" t="n">
        <f aca="false">CF!K32</f>
        <v>-127478.0867</v>
      </c>
      <c r="L51" s="67" t="n">
        <f aca="false">CF!L32</f>
        <v>155717.9421</v>
      </c>
      <c r="M51" s="67" t="n">
        <f aca="false">CF!M32</f>
        <v>-2816.33535111547</v>
      </c>
      <c r="N51" s="67" t="n">
        <f aca="false">CF!N32</f>
        <v>-25071.6943182167</v>
      </c>
      <c r="O51" s="67" t="n">
        <f aca="false">CF!O32</f>
        <v>-25141.851716308</v>
      </c>
      <c r="P51" s="67" t="n">
        <f aca="false">CF!P32</f>
        <v>48535.8417078378</v>
      </c>
      <c r="Q51" s="67" t="n">
        <f aca="false">CF!Q32</f>
        <v>104032.76386845</v>
      </c>
      <c r="R51" s="67" t="n">
        <f aca="false">CF!R32</f>
        <v>101745.979699004</v>
      </c>
      <c r="S51" s="67" t="n">
        <f aca="false">CF!S32</f>
        <v>163620.126187553</v>
      </c>
      <c r="T51" s="67" t="n">
        <f aca="false">CF!T32</f>
        <v>73328.971776588</v>
      </c>
      <c r="U51" s="67" t="n">
        <f aca="false">CF!U32</f>
        <v>142524.691231714</v>
      </c>
      <c r="V51" s="67" t="n">
        <f aca="false">CF!V32</f>
        <v>-21790.0804116404</v>
      </c>
      <c r="W51" s="67" t="n">
        <f aca="false">CF!W32</f>
        <v>-36439.3595438687</v>
      </c>
      <c r="X51" s="67" t="n">
        <f aca="false">CF!X32</f>
        <v>226375.899670185</v>
      </c>
      <c r="Y51" s="67" t="n">
        <f aca="false">CF!Y32</f>
        <v>109853.787752829</v>
      </c>
      <c r="Z51" s="67" t="n">
        <f aca="false">CF!Z32</f>
        <v>-26669.4052764734</v>
      </c>
      <c r="AA51" s="67" t="n">
        <f aca="false">CF!AA32</f>
        <v>24169.0685249836</v>
      </c>
      <c r="AB51" s="67" t="n">
        <f aca="false">CF!AB32</f>
        <v>39239.4629833447</v>
      </c>
    </row>
    <row r="52" customFormat="false" ht="15" hidden="false" customHeight="false" outlineLevel="0" collapsed="false">
      <c r="A52" s="27" t="s">
        <v>396</v>
      </c>
      <c r="B52" s="63" t="s">
        <v>61</v>
      </c>
      <c r="C52" s="74" t="n">
        <f aca="false">P52</f>
        <v>71.5451917372025</v>
      </c>
      <c r="D52" s="74" t="n">
        <f aca="false">AB52</f>
        <v>78.3689970117048</v>
      </c>
      <c r="E52" s="75" t="n">
        <f aca="false">People!E26</f>
        <v>68</v>
      </c>
      <c r="F52" s="75" t="n">
        <f aca="false">People!F26</f>
        <v>69</v>
      </c>
      <c r="G52" s="75" t="n">
        <f aca="false">People!G26</f>
        <v>69</v>
      </c>
      <c r="H52" s="75" t="n">
        <f aca="false">People!H26</f>
        <v>68</v>
      </c>
      <c r="I52" s="75" t="n">
        <f aca="false">People!I26</f>
        <v>67</v>
      </c>
      <c r="J52" s="75" t="n">
        <f aca="false">People!J26</f>
        <v>67</v>
      </c>
      <c r="K52" s="75" t="n">
        <f aca="false">People!K26</f>
        <v>68</v>
      </c>
      <c r="L52" s="75" t="n">
        <f aca="false">People!L26</f>
        <v>68</v>
      </c>
      <c r="M52" s="75" t="n">
        <f aca="false">People!M26</f>
        <v>67.3041666666667</v>
      </c>
      <c r="N52" s="75" t="n">
        <f aca="false">People!N26</f>
        <v>69.6158631944444</v>
      </c>
      <c r="O52" s="75" t="n">
        <f aca="false">People!O26</f>
        <v>71.595838666088</v>
      </c>
      <c r="P52" s="75" t="n">
        <f aca="false">People!P26</f>
        <v>71.5451917372025</v>
      </c>
      <c r="Q52" s="75" t="n">
        <f aca="false">People!Q26</f>
        <v>75.5226936129747</v>
      </c>
      <c r="R52" s="75" t="n">
        <f aca="false">People!R26</f>
        <v>75.4793837764785</v>
      </c>
      <c r="S52" s="75" t="n">
        <f aca="false">People!S26</f>
        <v>76.4359674245465</v>
      </c>
      <c r="T52" s="75" t="n">
        <f aca="false">People!T26</f>
        <v>77.4252779223168</v>
      </c>
      <c r="U52" s="75" t="n">
        <f aca="false">People!U26</f>
        <v>77.4025587668728</v>
      </c>
      <c r="V52" s="75" t="n">
        <f aca="false">People!V26</f>
        <v>78.3912821705902</v>
      </c>
      <c r="W52" s="75" t="n">
        <f aca="false">People!W26</f>
        <v>78.3800122204693</v>
      </c>
      <c r="X52" s="75" t="n">
        <f aca="false">People!X26</f>
        <v>78.3686085955961</v>
      </c>
      <c r="Y52" s="75" t="n">
        <f aca="false">People!Y26</f>
        <v>78.3688731202954</v>
      </c>
      <c r="Z52" s="75" t="n">
        <f aca="false">People!Z26</f>
        <v>78.3690030764451</v>
      </c>
      <c r="AA52" s="75" t="n">
        <f aca="false">People!AA26</f>
        <v>78.368998474166</v>
      </c>
      <c r="AB52" s="75" t="n">
        <f aca="false">People!AB26</f>
        <v>78.3689970117048</v>
      </c>
    </row>
    <row r="53" customFormat="false" ht="15" hidden="false" customHeight="false" outlineLevel="0" collapsed="false">
      <c r="A53" s="27" t="s">
        <v>397</v>
      </c>
      <c r="B53" s="63"/>
      <c r="C53" s="66" t="n">
        <f aca="false">P53</f>
        <v>112227.555031023</v>
      </c>
      <c r="D53" s="66" t="n">
        <f aca="false">AB53</f>
        <v>106226.14978977</v>
      </c>
      <c r="E53" s="67" t="n">
        <f aca="false">IF(People!E26=0,0,12*PL!E17/People!E26)</f>
        <v>99791.9752941177</v>
      </c>
      <c r="F53" s="67" t="n">
        <f aca="false">IF(People!F26=0,0,12*PL!F17/People!F26)</f>
        <v>103806.884637681</v>
      </c>
      <c r="G53" s="67" t="n">
        <f aca="false">IF(People!G26=0,0,12*PL!G17/People!G26)</f>
        <v>113658.792463768</v>
      </c>
      <c r="H53" s="67" t="n">
        <f aca="false">IF(People!H26=0,0,12*PL!H17/People!H26)</f>
        <v>111782.26</v>
      </c>
      <c r="I53" s="67" t="n">
        <f aca="false">IF(People!I26=0,0,12*PL!I17/People!I26)</f>
        <v>113219.709253731</v>
      </c>
      <c r="J53" s="67" t="n">
        <f aca="false">IF(People!J26=0,0,12*PL!J17/People!J26)</f>
        <v>107863.540298507</v>
      </c>
      <c r="K53" s="67" t="n">
        <f aca="false">IF(People!K26=0,0,12*PL!K17/People!K26)</f>
        <v>106306.690588235</v>
      </c>
      <c r="L53" s="67" t="n">
        <f aca="false">IF(People!L26=0,0,12*PL!L17/People!L26)</f>
        <v>87645.44</v>
      </c>
      <c r="M53" s="67" t="n">
        <f aca="false">IF(People!M26=0,0,12*PL!M17/People!M26)</f>
        <v>120743.01661999</v>
      </c>
      <c r="N53" s="67" t="n">
        <f aca="false">IF(People!N26=0,0,12*PL!N17/People!N26)</f>
        <v>124139.051689175</v>
      </c>
      <c r="O53" s="67" t="n">
        <f aca="false">IF(People!O26=0,0,12*PL!O17/People!O26)</f>
        <v>114447.078263896</v>
      </c>
      <c r="P53" s="67" t="n">
        <f aca="false">IF(People!P26=0,0,12*PL!P17/People!P26)</f>
        <v>112227.555031023</v>
      </c>
      <c r="Q53" s="67" t="n">
        <f aca="false">IF(People!Q26=0,0,12*PL!Q17/People!Q26)</f>
        <v>102218.387591082</v>
      </c>
      <c r="R53" s="67" t="n">
        <f aca="false">IF(People!R26=0,0,12*PL!R17/People!R26)</f>
        <v>105074.485746513</v>
      </c>
      <c r="S53" s="67" t="n">
        <f aca="false">IF(People!S26=0,0,12*PL!S17/People!S26)</f>
        <v>109327.346247225</v>
      </c>
      <c r="T53" s="67" t="n">
        <f aca="false">IF(People!T26=0,0,12*PL!T17/People!T26)</f>
        <v>104584.456276205</v>
      </c>
      <c r="U53" s="67" t="n">
        <f aca="false">IF(People!U26=0,0,12*PL!U17/People!U26)</f>
        <v>105687.380681648</v>
      </c>
      <c r="V53" s="67" t="n">
        <f aca="false">IF(People!V26=0,0,12*PL!V17/People!V26)</f>
        <v>110173.947026461</v>
      </c>
      <c r="W53" s="67" t="n">
        <f aca="false">IF(People!W26=0,0,12*PL!W17/People!W26)</f>
        <v>101524.227367324</v>
      </c>
      <c r="X53" s="67" t="n">
        <f aca="false">IF(People!X26=0,0,12*PL!X17/People!X26)</f>
        <v>86220.1864251175</v>
      </c>
      <c r="Y53" s="67" t="n">
        <f aca="false">IF(People!Y26=0,0,12*PL!Y17/People!Y26)</f>
        <v>111776.304557171</v>
      </c>
      <c r="Z53" s="67" t="n">
        <f aca="false">IF(People!Z26=0,0,12*PL!Z17/People!Z26)</f>
        <v>116757.966325241</v>
      </c>
      <c r="AA53" s="67" t="n">
        <f aca="false">IF(People!AA26=0,0,12*PL!AA17/People!AA26)</f>
        <v>109508.510825245</v>
      </c>
      <c r="AB53" s="67" t="n">
        <f aca="false">IF(People!AB26=0,0,12*PL!AB17/People!AB26)</f>
        <v>106226.14978977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6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398</v>
      </c>
    </row>
    <row r="3" customFormat="false" ht="15" hidden="false" customHeight="false" outlineLevel="0" collapsed="false">
      <c r="A3" s="50" t="s">
        <v>399</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400</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401</v>
      </c>
      <c r="B9" s="63" t="s">
        <v>44</v>
      </c>
      <c r="C9" s="66" t="n">
        <f aca="false">SUM(E9:P9)</f>
        <v>2813869.84065143</v>
      </c>
      <c r="D9" s="66" t="n">
        <f aca="false">SUM(Q9:AB9)</f>
        <v>3173530.45760189</v>
      </c>
      <c r="E9" s="67" t="n">
        <f aca="false">Revenue!E9</f>
        <v>222281.28</v>
      </c>
      <c r="F9" s="67" t="n">
        <f aca="false">Revenue!F9</f>
        <v>223268.81</v>
      </c>
      <c r="G9" s="67" t="n">
        <f aca="false">Revenue!G9</f>
        <v>229851.35</v>
      </c>
      <c r="H9" s="67" t="n">
        <f aca="false">Revenue!H9</f>
        <v>231117.86</v>
      </c>
      <c r="I9" s="67" t="n">
        <f aca="false">Revenue!I9</f>
        <v>227787.83</v>
      </c>
      <c r="J9" s="67" t="n">
        <f aca="false">Revenue!J9</f>
        <v>228319.33</v>
      </c>
      <c r="K9" s="67" t="n">
        <f aca="false">Revenue!K9</f>
        <v>235394.64</v>
      </c>
      <c r="L9" s="67" t="n">
        <f aca="false">Revenue!L9</f>
        <v>236994.81</v>
      </c>
      <c r="M9" s="67" t="n">
        <f aca="false">Revenue!M9</f>
        <v>237538.702911441</v>
      </c>
      <c r="N9" s="67" t="n">
        <f aca="false">Revenue!N9</f>
        <v>237376.56952541</v>
      </c>
      <c r="O9" s="67" t="n">
        <f aca="false">Revenue!O9</f>
        <v>252008.421106854</v>
      </c>
      <c r="P9" s="67" t="n">
        <f aca="false">Revenue!P9</f>
        <v>251930.237107725</v>
      </c>
      <c r="Q9" s="67" t="n">
        <f aca="false">Revenue!Q9</f>
        <v>256413.069010518</v>
      </c>
      <c r="R9" s="67" t="n">
        <f aca="false">Revenue!R9</f>
        <v>260935.566579744</v>
      </c>
      <c r="S9" s="67" t="n">
        <f aca="false">Revenue!S9</f>
        <v>260253.718083795</v>
      </c>
      <c r="T9" s="67" t="n">
        <f aca="false">Revenue!T9</f>
        <v>263462.681196961</v>
      </c>
      <c r="U9" s="67" t="n">
        <f aca="false">Revenue!U9</f>
        <v>264109.049028551</v>
      </c>
      <c r="V9" s="67" t="n">
        <f aca="false">Revenue!V9</f>
        <v>264741.599418759</v>
      </c>
      <c r="W9" s="67" t="n">
        <f aca="false">Revenue!W9</f>
        <v>265700.271649055</v>
      </c>
      <c r="X9" s="67" t="n">
        <f aca="false">Revenue!X9</f>
        <v>265901.386974345</v>
      </c>
      <c r="Y9" s="67" t="n">
        <f aca="false">Revenue!Y9</f>
        <v>266521.325629425</v>
      </c>
      <c r="Z9" s="67" t="n">
        <f aca="false">Revenue!Z9</f>
        <v>267612.696822613</v>
      </c>
      <c r="AA9" s="67" t="n">
        <f aca="false">Revenue!AA9</f>
        <v>268586.599248214</v>
      </c>
      <c r="AB9" s="67" t="n">
        <f aca="false">Revenue!AB9</f>
        <v>269292.493959905</v>
      </c>
    </row>
    <row r="10" customFormat="false" ht="15" hidden="false" customHeight="false" outlineLevel="0" collapsed="false">
      <c r="A10" s="27" t="s">
        <v>402</v>
      </c>
      <c r="B10" s="63" t="s">
        <v>44</v>
      </c>
      <c r="C10" s="66" t="n">
        <f aca="false">SUM(E10:P10)</f>
        <v>-56251.0392045859</v>
      </c>
      <c r="D10" s="66" t="n">
        <f aca="false">SUM(Q10:AB10)</f>
        <v>-4196.20014891111</v>
      </c>
      <c r="E10" s="67" t="n">
        <f aca="false">Revenue!E10</f>
        <v>-0</v>
      </c>
      <c r="F10" s="67" t="n">
        <f aca="false">Revenue!F10</f>
        <v>-0</v>
      </c>
      <c r="G10" s="67" t="n">
        <f aca="false">Revenue!G10</f>
        <v>-3235.73</v>
      </c>
      <c r="H10" s="67" t="n">
        <f aca="false">Revenue!H10</f>
        <v>-4841.71</v>
      </c>
      <c r="I10" s="67" t="n">
        <f aca="false">Revenue!I10</f>
        <v>-5441.04</v>
      </c>
      <c r="J10" s="67" t="n">
        <f aca="false">Revenue!J10</f>
        <v>-3820.12</v>
      </c>
      <c r="K10" s="67" t="n">
        <f aca="false">Revenue!K10</f>
        <v>-11314.01</v>
      </c>
      <c r="L10" s="67" t="n">
        <f aca="false">Revenue!L10</f>
        <v>-9000.4</v>
      </c>
      <c r="M10" s="67" t="n">
        <f aca="false">Revenue!M10</f>
        <v>-8319.27087221023</v>
      </c>
      <c r="N10" s="67" t="n">
        <f aca="false">Revenue!N10</f>
        <v>-645.366755552625</v>
      </c>
      <c r="O10" s="67" t="n">
        <f aca="false">Revenue!O10</f>
        <v>-9176.748081027</v>
      </c>
      <c r="P10" s="67" t="n">
        <f aca="false">Revenue!P10</f>
        <v>-456.643495796042</v>
      </c>
      <c r="Q10" s="67" t="n">
        <f aca="false">Revenue!Q10</f>
        <v>-1068.31825609855</v>
      </c>
      <c r="R10" s="67" t="n">
        <f aca="false">Revenue!R10</f>
        <v>-1719.16870446923</v>
      </c>
      <c r="S10" s="67" t="n">
        <f aca="false">Revenue!S10</f>
        <v>-0</v>
      </c>
      <c r="T10" s="67" t="n">
        <f aca="false">Revenue!T10</f>
        <v>-0</v>
      </c>
      <c r="U10" s="67" t="n">
        <f aca="false">Revenue!U10</f>
        <v>-0</v>
      </c>
      <c r="V10" s="67" t="n">
        <f aca="false">Revenue!V10</f>
        <v>-0</v>
      </c>
      <c r="W10" s="67" t="n">
        <f aca="false">Revenue!W10</f>
        <v>-0</v>
      </c>
      <c r="X10" s="67" t="n">
        <f aca="false">Revenue!X10</f>
        <v>-1408.71318834332</v>
      </c>
      <c r="Y10" s="67" t="n">
        <f aca="false">Revenue!Y10</f>
        <v>-0</v>
      </c>
      <c r="Z10" s="67" t="n">
        <f aca="false">Revenue!Z10</f>
        <v>-0</v>
      </c>
      <c r="AA10" s="67" t="n">
        <f aca="false">Revenue!AA10</f>
        <v>-0</v>
      </c>
      <c r="AB10" s="67" t="n">
        <f aca="false">Revenue!AB10</f>
        <v>-0</v>
      </c>
    </row>
    <row r="11" customFormat="false" ht="15" hidden="false" customHeight="false" outlineLevel="0" collapsed="false">
      <c r="A11" s="27" t="s">
        <v>403</v>
      </c>
      <c r="B11" s="63" t="s">
        <v>44</v>
      </c>
      <c r="C11" s="66" t="n">
        <f aca="false">SUM(E11:P11)</f>
        <v>6655</v>
      </c>
      <c r="D11" s="66" t="n">
        <f aca="false">SUM(Q11:AB11)</f>
        <v>13511.25</v>
      </c>
      <c r="E11" s="67" t="n">
        <f aca="false">Revenue!E11</f>
        <v>293.75</v>
      </c>
      <c r="F11" s="67" t="n">
        <f aca="false">Revenue!F11</f>
        <v>293.75</v>
      </c>
      <c r="G11" s="67" t="n">
        <f aca="false">Revenue!G11</f>
        <v>393.75</v>
      </c>
      <c r="H11" s="67" t="n">
        <f aca="false">Revenue!H11</f>
        <v>393.75</v>
      </c>
      <c r="I11" s="67" t="n">
        <f aca="false">Revenue!I11</f>
        <v>476.25</v>
      </c>
      <c r="J11" s="67" t="n">
        <f aca="false">Revenue!J11</f>
        <v>476.25</v>
      </c>
      <c r="K11" s="67" t="n">
        <f aca="false">Revenue!K11</f>
        <v>611.25</v>
      </c>
      <c r="L11" s="67" t="n">
        <f aca="false">Revenue!L11</f>
        <v>611.25</v>
      </c>
      <c r="M11" s="67" t="n">
        <f aca="false">Revenue!M11</f>
        <v>611.25</v>
      </c>
      <c r="N11" s="67" t="n">
        <f aca="false">Revenue!N11</f>
        <v>611.25</v>
      </c>
      <c r="O11" s="67" t="n">
        <f aca="false">Revenue!O11</f>
        <v>941.25</v>
      </c>
      <c r="P11" s="67" t="n">
        <f aca="false">Revenue!P11</f>
        <v>941.25</v>
      </c>
      <c r="Q11" s="67" t="n">
        <f aca="false">Revenue!Q11</f>
        <v>1016.25</v>
      </c>
      <c r="R11" s="67" t="n">
        <f aca="false">Revenue!R11</f>
        <v>1095</v>
      </c>
      <c r="S11" s="67" t="n">
        <f aca="false">Revenue!S11</f>
        <v>1095</v>
      </c>
      <c r="T11" s="67" t="n">
        <f aca="false">Revenue!T11</f>
        <v>1145</v>
      </c>
      <c r="U11" s="67" t="n">
        <f aca="false">Revenue!U11</f>
        <v>1145</v>
      </c>
      <c r="V11" s="67" t="n">
        <f aca="false">Revenue!V11</f>
        <v>1145</v>
      </c>
      <c r="W11" s="67" t="n">
        <f aca="false">Revenue!W11</f>
        <v>1145</v>
      </c>
      <c r="X11" s="67" t="n">
        <f aca="false">Revenue!X11</f>
        <v>1145</v>
      </c>
      <c r="Y11" s="67" t="n">
        <f aca="false">Revenue!Y11</f>
        <v>1145</v>
      </c>
      <c r="Z11" s="67" t="n">
        <f aca="false">Revenue!Z11</f>
        <v>1145</v>
      </c>
      <c r="AA11" s="67" t="n">
        <f aca="false">Revenue!AA11</f>
        <v>1145</v>
      </c>
      <c r="AB11" s="67" t="n">
        <f aca="false">Revenue!AB11</f>
        <v>1145</v>
      </c>
    </row>
    <row r="12" customFormat="false" ht="15" hidden="false" customHeight="false" outlineLevel="0" collapsed="false">
      <c r="A12" s="27" t="s">
        <v>404</v>
      </c>
      <c r="B12" s="63" t="s">
        <v>44</v>
      </c>
      <c r="C12" s="66" t="n">
        <f aca="false">SUM(E12:P12)</f>
        <v>822656.618564107</v>
      </c>
      <c r="D12" s="66" t="n">
        <f aca="false">SUM(Q12:AB12)</f>
        <v>935306.327999216</v>
      </c>
      <c r="E12" s="67" t="n">
        <f aca="false">Revenue!E12</f>
        <v>65799.8</v>
      </c>
      <c r="F12" s="67" t="n">
        <f aca="false">Revenue!F12</f>
        <v>66325.23</v>
      </c>
      <c r="G12" s="67" t="n">
        <f aca="false">Revenue!G12</f>
        <v>67699.56</v>
      </c>
      <c r="H12" s="67" t="n">
        <f aca="false">Revenue!H12</f>
        <v>67751.59</v>
      </c>
      <c r="I12" s="67" t="n">
        <f aca="false">Revenue!I12</f>
        <v>66519.66</v>
      </c>
      <c r="J12" s="67" t="n">
        <f aca="false">Revenue!J12</f>
        <v>66724.48</v>
      </c>
      <c r="K12" s="67" t="n">
        <f aca="false">Revenue!K12</f>
        <v>68703.74</v>
      </c>
      <c r="L12" s="67" t="n">
        <f aca="false">Revenue!L12</f>
        <v>68767.83</v>
      </c>
      <c r="M12" s="67" t="n">
        <f aca="false">Revenue!M12</f>
        <v>69001.588575</v>
      </c>
      <c r="N12" s="67" t="n">
        <f aca="false">Revenue!N12</f>
        <v>68717.428153615</v>
      </c>
      <c r="O12" s="67" t="n">
        <f aca="false">Revenue!O12</f>
        <v>73337.6334730909</v>
      </c>
      <c r="P12" s="67" t="n">
        <f aca="false">Revenue!P12</f>
        <v>73308.0783624015</v>
      </c>
      <c r="Q12" s="67" t="n">
        <f aca="false">Revenue!Q12</f>
        <v>76597.0091167134</v>
      </c>
      <c r="R12" s="67" t="n">
        <f aca="false">Revenue!R12</f>
        <v>77793.7839561549</v>
      </c>
      <c r="S12" s="67" t="n">
        <f aca="false">Revenue!S12</f>
        <v>77201.2995466204</v>
      </c>
      <c r="T12" s="67" t="n">
        <f aca="false">Revenue!T12</f>
        <v>77916.63861467</v>
      </c>
      <c r="U12" s="67" t="n">
        <f aca="false">Revenue!U12</f>
        <v>78011.8873487942</v>
      </c>
      <c r="V12" s="67" t="n">
        <f aca="false">Revenue!V12</f>
        <v>78193.659581152</v>
      </c>
      <c r="W12" s="67" t="n">
        <f aca="false">Revenue!W12</f>
        <v>78304.0055613229</v>
      </c>
      <c r="X12" s="67" t="n">
        <f aca="false">Revenue!X12</f>
        <v>77970.5265964455</v>
      </c>
      <c r="Y12" s="67" t="n">
        <f aca="false">Revenue!Y12</f>
        <v>78152.3798286132</v>
      </c>
      <c r="Z12" s="67" t="n">
        <f aca="false">Revenue!Z12</f>
        <v>78278.4326559107</v>
      </c>
      <c r="AA12" s="67" t="n">
        <f aca="false">Revenue!AA12</f>
        <v>78351.904466104</v>
      </c>
      <c r="AB12" s="67" t="n">
        <f aca="false">Revenue!AB12</f>
        <v>78534.8007267144</v>
      </c>
    </row>
    <row r="13" customFormat="false" ht="15" hidden="false" customHeight="false" outlineLevel="0" collapsed="false">
      <c r="A13" s="27" t="s">
        <v>405</v>
      </c>
      <c r="B13" s="63" t="s">
        <v>44</v>
      </c>
      <c r="C13" s="66" t="n">
        <f aca="false">SUM(E13:P13)</f>
        <v>408415</v>
      </c>
      <c r="D13" s="66" t="n">
        <f aca="false">SUM(Q13:AB13)</f>
        <v>425496.6</v>
      </c>
      <c r="E13" s="67" t="n">
        <f aca="false">Revenue!E13</f>
        <v>33625</v>
      </c>
      <c r="F13" s="67" t="n">
        <f aca="false">Revenue!F13</f>
        <v>33716.6666666667</v>
      </c>
      <c r="G13" s="67" t="n">
        <f aca="false">Revenue!G13</f>
        <v>33816.6666666667</v>
      </c>
      <c r="H13" s="67" t="n">
        <f aca="false">Revenue!H13</f>
        <v>33891.6666666667</v>
      </c>
      <c r="I13" s="67" t="n">
        <f aca="false">Revenue!I13</f>
        <v>33941.6666666667</v>
      </c>
      <c r="J13" s="67" t="n">
        <f aca="false">Revenue!J13</f>
        <v>34050</v>
      </c>
      <c r="K13" s="67" t="n">
        <f aca="false">Revenue!K13</f>
        <v>34100</v>
      </c>
      <c r="L13" s="67" t="n">
        <f aca="false">Revenue!L13</f>
        <v>34133.3333333333</v>
      </c>
      <c r="M13" s="67" t="n">
        <f aca="false">Revenue!M13</f>
        <v>34206.6666666667</v>
      </c>
      <c r="N13" s="67" t="n">
        <f aca="false">Revenue!N13</f>
        <v>34256.6666666667</v>
      </c>
      <c r="O13" s="67" t="n">
        <f aca="false">Revenue!O13</f>
        <v>34296.6666666667</v>
      </c>
      <c r="P13" s="67" t="n">
        <f aca="false">Revenue!P13</f>
        <v>34380</v>
      </c>
      <c r="Q13" s="67" t="n">
        <f aca="false">Revenue!Q13</f>
        <v>35191.6666666667</v>
      </c>
      <c r="R13" s="67" t="n">
        <f aca="false">Revenue!R13</f>
        <v>35235.3333333333</v>
      </c>
      <c r="S13" s="67" t="n">
        <f aca="false">Revenue!S13</f>
        <v>35299.3333333333</v>
      </c>
      <c r="T13" s="67" t="n">
        <f aca="false">Revenue!T13</f>
        <v>35349</v>
      </c>
      <c r="U13" s="67" t="n">
        <f aca="false">Revenue!U13</f>
        <v>35381</v>
      </c>
      <c r="V13" s="67" t="n">
        <f aca="false">Revenue!V13</f>
        <v>35438.6666666667</v>
      </c>
      <c r="W13" s="67" t="n">
        <f aca="false">Revenue!W13</f>
        <v>35477.3333333333</v>
      </c>
      <c r="X13" s="67" t="n">
        <f aca="false">Revenue!X13</f>
        <v>35498.6666666667</v>
      </c>
      <c r="Y13" s="67" t="n">
        <f aca="false">Revenue!Y13</f>
        <v>35574.9333333333</v>
      </c>
      <c r="Z13" s="67" t="n">
        <f aca="false">Revenue!Z13</f>
        <v>35626.9333333333</v>
      </c>
      <c r="AA13" s="67" t="n">
        <f aca="false">Revenue!AA13</f>
        <v>35668.5333333333</v>
      </c>
      <c r="AB13" s="67" t="n">
        <f aca="false">Revenue!AB13</f>
        <v>35755.2</v>
      </c>
    </row>
    <row r="14" customFormat="false" ht="15" hidden="false" customHeight="false" outlineLevel="0" collapsed="false">
      <c r="A14" s="27" t="s">
        <v>406</v>
      </c>
      <c r="B14" s="63" t="s">
        <v>44</v>
      </c>
      <c r="C14" s="66" t="n">
        <f aca="false">SUM(E14:P14)</f>
        <v>100390.79875</v>
      </c>
      <c r="D14" s="66" t="n">
        <f aca="false">SUM(Q14:AB14)</f>
        <v>96990.06</v>
      </c>
      <c r="E14" s="67" t="n">
        <f aca="false">Revenue!E14</f>
        <v>6935.95</v>
      </c>
      <c r="F14" s="67" t="n">
        <f aca="false">Revenue!F14</f>
        <v>7643.7</v>
      </c>
      <c r="G14" s="67" t="n">
        <f aca="false">Revenue!G14</f>
        <v>9342.3</v>
      </c>
      <c r="H14" s="67" t="n">
        <f aca="false">Revenue!H14</f>
        <v>8068.35</v>
      </c>
      <c r="I14" s="67" t="n">
        <f aca="false">Revenue!I14</f>
        <v>8209.9</v>
      </c>
      <c r="J14" s="67" t="n">
        <f aca="false">Revenue!J14</f>
        <v>8634.55</v>
      </c>
      <c r="K14" s="67" t="n">
        <f aca="false">Revenue!K14</f>
        <v>7785.25</v>
      </c>
      <c r="L14" s="67" t="n">
        <f aca="false">Revenue!L14</f>
        <v>5378.9</v>
      </c>
      <c r="M14" s="67" t="n">
        <f aca="false">Revenue!M14</f>
        <v>8648.28035</v>
      </c>
      <c r="N14" s="67" t="n">
        <f aca="false">Revenue!N14</f>
        <v>9214.0557</v>
      </c>
      <c r="O14" s="67" t="n">
        <f aca="false">Revenue!O14</f>
        <v>9860.6561</v>
      </c>
      <c r="P14" s="67" t="n">
        <f aca="false">Revenue!P14</f>
        <v>10668.9066</v>
      </c>
      <c r="Q14" s="67" t="n">
        <f aca="false">Revenue!Q14</f>
        <v>6627.6541</v>
      </c>
      <c r="R14" s="67" t="n">
        <f aca="false">Revenue!R14</f>
        <v>7112.6044</v>
      </c>
      <c r="S14" s="67" t="n">
        <f aca="false">Revenue!S14</f>
        <v>8729.1054</v>
      </c>
      <c r="T14" s="67" t="n">
        <f aca="false">Revenue!T14</f>
        <v>7516.72965</v>
      </c>
      <c r="U14" s="67" t="n">
        <f aca="false">Revenue!U14</f>
        <v>7759.2048</v>
      </c>
      <c r="V14" s="67" t="n">
        <f aca="false">Revenue!V14</f>
        <v>8244.1551</v>
      </c>
      <c r="W14" s="67" t="n">
        <f aca="false">Revenue!W14</f>
        <v>7435.9046</v>
      </c>
      <c r="X14" s="67" t="n">
        <f aca="false">Revenue!X14</f>
        <v>5172.8032</v>
      </c>
      <c r="Y14" s="67" t="n">
        <f aca="false">Revenue!Y14</f>
        <v>8648.28035</v>
      </c>
      <c r="Z14" s="67" t="n">
        <f aca="false">Revenue!Z14</f>
        <v>9214.0557</v>
      </c>
      <c r="AA14" s="67" t="n">
        <f aca="false">Revenue!AA14</f>
        <v>9860.6561</v>
      </c>
      <c r="AB14" s="67" t="n">
        <f aca="false">Revenue!AB14</f>
        <v>10668.9066</v>
      </c>
    </row>
    <row r="15" customFormat="false" ht="15" hidden="false" customHeight="false" outlineLevel="0" collapsed="false">
      <c r="A15" s="27" t="s">
        <v>407</v>
      </c>
      <c r="B15" s="63" t="s">
        <v>44</v>
      </c>
      <c r="C15" s="66" t="n">
        <f aca="false">SUM(E15:P15)</f>
        <v>2513080</v>
      </c>
      <c r="D15" s="66" t="n">
        <f aca="false">SUM(Q15:AB15)</f>
        <v>2485600</v>
      </c>
      <c r="E15" s="67" t="n">
        <f aca="false">Revenue!E15</f>
        <v>186000</v>
      </c>
      <c r="F15" s="67" t="n">
        <f aca="false">Revenue!F15</f>
        <v>197000</v>
      </c>
      <c r="G15" s="67" t="n">
        <f aca="false">Revenue!G15</f>
        <v>224000</v>
      </c>
      <c r="H15" s="67" t="n">
        <f aca="false">Revenue!H15</f>
        <v>201000</v>
      </c>
      <c r="I15" s="67" t="n">
        <f aca="false">Revenue!I15</f>
        <v>212000</v>
      </c>
      <c r="J15" s="67" t="n">
        <f aca="false">Revenue!J15</f>
        <v>238000</v>
      </c>
      <c r="K15" s="67" t="n">
        <f aca="false">Revenue!K15</f>
        <v>196000</v>
      </c>
      <c r="L15" s="67" t="n">
        <f aca="false">Revenue!L15</f>
        <v>121000</v>
      </c>
      <c r="M15" s="67" t="n">
        <f aca="false">Revenue!M15</f>
        <v>245440</v>
      </c>
      <c r="N15" s="67" t="n">
        <f aca="false">Revenue!N15</f>
        <v>266240</v>
      </c>
      <c r="O15" s="67" t="n">
        <f aca="false">Revenue!O15</f>
        <v>222560</v>
      </c>
      <c r="P15" s="67" t="n">
        <f aca="false">Revenue!P15</f>
        <v>203840</v>
      </c>
      <c r="Q15" s="67" t="n">
        <f aca="false">Revenue!Q15</f>
        <v>183040</v>
      </c>
      <c r="R15" s="67" t="n">
        <f aca="false">Revenue!R15</f>
        <v>191360</v>
      </c>
      <c r="S15" s="67" t="n">
        <f aca="false">Revenue!S15</f>
        <v>218400</v>
      </c>
      <c r="T15" s="67" t="n">
        <f aca="false">Revenue!T15</f>
        <v>197600</v>
      </c>
      <c r="U15" s="67" t="n">
        <f aca="false">Revenue!U15</f>
        <v>208000</v>
      </c>
      <c r="V15" s="67" t="n">
        <f aca="false">Revenue!V15</f>
        <v>232960</v>
      </c>
      <c r="W15" s="67" t="n">
        <f aca="false">Revenue!W15</f>
        <v>191360</v>
      </c>
      <c r="X15" s="67" t="n">
        <f aca="false">Revenue!X15</f>
        <v>124800</v>
      </c>
      <c r="Y15" s="67" t="n">
        <f aca="false">Revenue!Y15</f>
        <v>245440</v>
      </c>
      <c r="Z15" s="67" t="n">
        <f aca="false">Revenue!Z15</f>
        <v>266240</v>
      </c>
      <c r="AA15" s="67" t="n">
        <f aca="false">Revenue!AA15</f>
        <v>222560</v>
      </c>
      <c r="AB15" s="67" t="n">
        <f aca="false">Revenue!AB15</f>
        <v>203840</v>
      </c>
    </row>
    <row r="16" customFormat="false" ht="15" hidden="false" customHeight="false" outlineLevel="0" collapsed="false">
      <c r="A16" s="27" t="s">
        <v>51</v>
      </c>
      <c r="B16" s="63" t="s">
        <v>44</v>
      </c>
      <c r="C16" s="66" t="n">
        <f aca="false">SUM(E16:P16)</f>
        <v>923294.961904762</v>
      </c>
      <c r="D16" s="66" t="n">
        <f aca="false">SUM(Q16:AB16)</f>
        <v>1078200</v>
      </c>
      <c r="E16" s="67" t="n">
        <f aca="false">Revenue!E16</f>
        <v>50552.08</v>
      </c>
      <c r="F16" s="67" t="n">
        <f aca="false">Revenue!F16</f>
        <v>68641.43</v>
      </c>
      <c r="G16" s="67" t="n">
        <f aca="false">Revenue!G16</f>
        <v>91670.16</v>
      </c>
      <c r="H16" s="67" t="n">
        <f aca="false">Revenue!H16</f>
        <v>96051.3</v>
      </c>
      <c r="I16" s="67" t="n">
        <f aca="false">Revenue!I16</f>
        <v>88649.11</v>
      </c>
      <c r="J16" s="67" t="n">
        <f aca="false">Revenue!J16</f>
        <v>29853.61</v>
      </c>
      <c r="K16" s="67" t="n">
        <f aca="false">Revenue!K16</f>
        <v>71123.71</v>
      </c>
      <c r="L16" s="67" t="n">
        <f aca="false">Revenue!L16</f>
        <v>38771.77</v>
      </c>
      <c r="M16" s="67" t="n">
        <f aca="false">Revenue!M16</f>
        <v>90081.7919047619</v>
      </c>
      <c r="N16" s="67" t="n">
        <f aca="false">Revenue!N16</f>
        <v>104400</v>
      </c>
      <c r="O16" s="67" t="n">
        <f aca="false">Revenue!O16</f>
        <v>99000</v>
      </c>
      <c r="P16" s="67" t="n">
        <f aca="false">Revenue!P16</f>
        <v>94500</v>
      </c>
      <c r="Q16" s="67" t="n">
        <f aca="false">Revenue!Q16</f>
        <v>85500</v>
      </c>
      <c r="R16" s="67" t="n">
        <f aca="false">Revenue!R16</f>
        <v>89100</v>
      </c>
      <c r="S16" s="67" t="n">
        <f aca="false">Revenue!S16</f>
        <v>95400</v>
      </c>
      <c r="T16" s="67" t="n">
        <f aca="false">Revenue!T16</f>
        <v>91800</v>
      </c>
      <c r="U16" s="67" t="n">
        <f aca="false">Revenue!U16</f>
        <v>87300</v>
      </c>
      <c r="V16" s="67" t="n">
        <f aca="false">Revenue!V16</f>
        <v>99000</v>
      </c>
      <c r="W16" s="67" t="n">
        <f aca="false">Revenue!W16</f>
        <v>83700</v>
      </c>
      <c r="X16" s="67" t="n">
        <f aca="false">Revenue!X16</f>
        <v>54000</v>
      </c>
      <c r="Y16" s="67" t="n">
        <f aca="false">Revenue!Y16</f>
        <v>94500</v>
      </c>
      <c r="Z16" s="67" t="n">
        <f aca="false">Revenue!Z16</f>
        <v>104400</v>
      </c>
      <c r="AA16" s="67" t="n">
        <f aca="false">Revenue!AA16</f>
        <v>99000</v>
      </c>
      <c r="AB16" s="67" t="n">
        <f aca="false">Revenue!AB16</f>
        <v>94500</v>
      </c>
    </row>
    <row r="17" customFormat="false" ht="15" hidden="false" customHeight="false" outlineLevel="0" collapsed="false">
      <c r="A17" s="59" t="s">
        <v>408</v>
      </c>
      <c r="B17" s="60"/>
      <c r="C17" s="61" t="n">
        <f aca="false">SUM(E17:P17)</f>
        <v>7532111.18066571</v>
      </c>
      <c r="D17" s="61" t="n">
        <f aca="false">SUM(Q17:AB17)</f>
        <v>8204438.49545219</v>
      </c>
      <c r="E17" s="61" t="n">
        <f aca="false">SUM(E9:E16)</f>
        <v>565487.86</v>
      </c>
      <c r="F17" s="61" t="n">
        <f aca="false">SUM(F9:F16)</f>
        <v>596889.586666667</v>
      </c>
      <c r="G17" s="61" t="n">
        <f aca="false">SUM(G9:G16)</f>
        <v>653538.056666667</v>
      </c>
      <c r="H17" s="61" t="n">
        <f aca="false">SUM(H9:H16)</f>
        <v>633432.806666667</v>
      </c>
      <c r="I17" s="61" t="n">
        <f aca="false">SUM(I9:I16)</f>
        <v>632143.376666667</v>
      </c>
      <c r="J17" s="61" t="n">
        <f aca="false">SUM(J9:J16)</f>
        <v>602238.1</v>
      </c>
      <c r="K17" s="61" t="n">
        <f aca="false">SUM(K9:K16)</f>
        <v>602404.58</v>
      </c>
      <c r="L17" s="61" t="n">
        <f aca="false">SUM(L9:L16)</f>
        <v>496657.493333333</v>
      </c>
      <c r="M17" s="61" t="n">
        <f aca="false">SUM(M9:M16)</f>
        <v>677209.00953566</v>
      </c>
      <c r="N17" s="61" t="n">
        <f aca="false">SUM(N9:N16)</f>
        <v>720170.603290139</v>
      </c>
      <c r="O17" s="61" t="n">
        <f aca="false">SUM(O9:O16)</f>
        <v>682827.879265584</v>
      </c>
      <c r="P17" s="61" t="n">
        <f aca="false">SUM(P9:P16)</f>
        <v>669111.82857433</v>
      </c>
      <c r="Q17" s="61" t="n">
        <f aca="false">SUM(Q9:Q16)</f>
        <v>643317.3306378</v>
      </c>
      <c r="R17" s="61" t="n">
        <f aca="false">SUM(R9:R16)</f>
        <v>660913.119564763</v>
      </c>
      <c r="S17" s="61" t="n">
        <f aca="false">SUM(S9:S16)</f>
        <v>696378.456363749</v>
      </c>
      <c r="T17" s="61" t="n">
        <f aca="false">SUM(T9:T16)</f>
        <v>674790.049461631</v>
      </c>
      <c r="U17" s="61" t="n">
        <f aca="false">SUM(U9:U16)</f>
        <v>681706.141177345</v>
      </c>
      <c r="V17" s="61" t="n">
        <f aca="false">SUM(V9:V16)</f>
        <v>719723.080766578</v>
      </c>
      <c r="W17" s="61" t="n">
        <f aca="false">SUM(W9:W16)</f>
        <v>663122.515143711</v>
      </c>
      <c r="X17" s="61" t="n">
        <f aca="false">SUM(X9:X16)</f>
        <v>563079.670249114</v>
      </c>
      <c r="Y17" s="61" t="n">
        <f aca="false">SUM(Y9:Y16)</f>
        <v>729981.919141372</v>
      </c>
      <c r="Z17" s="61" t="n">
        <f aca="false">SUM(Z9:Z16)</f>
        <v>762517.118511857</v>
      </c>
      <c r="AA17" s="61" t="n">
        <f aca="false">SUM(AA9:AA16)</f>
        <v>715172.693147651</v>
      </c>
      <c r="AB17" s="61" t="n">
        <f aca="false">SUM(AB9:AB16)</f>
        <v>693736.401286619</v>
      </c>
    </row>
    <row r="18" customFormat="false" ht="15" hidden="false" customHeight="false" outlineLevel="0" collapsed="false">
      <c r="A18" s="21" t="s">
        <v>409</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row>
    <row r="19" customFormat="false" ht="15" hidden="false" customHeight="false" outlineLevel="0" collapsed="false">
      <c r="A19" s="27" t="s">
        <v>410</v>
      </c>
      <c r="B19" s="63" t="s">
        <v>53</v>
      </c>
      <c r="C19" s="66" t="n">
        <f aca="false">SUM(E19:P19)</f>
        <v>-2158611.59054355</v>
      </c>
      <c r="D19" s="66" t="n">
        <f aca="false">SUM(Q19:AB19)</f>
        <v>-2134931.552</v>
      </c>
      <c r="E19" s="67" t="n">
        <f aca="false">-Hardware!E13</f>
        <v>-159548.42</v>
      </c>
      <c r="F19" s="67" t="n">
        <f aca="false">-Hardware!F13</f>
        <v>-168977.73</v>
      </c>
      <c r="G19" s="67" t="n">
        <f aca="false">-Hardware!G13</f>
        <v>-192164.33</v>
      </c>
      <c r="H19" s="67" t="n">
        <f aca="false">-Hardware!H13</f>
        <v>-172919.52</v>
      </c>
      <c r="I19" s="67" t="n">
        <f aca="false">-Hardware!I13</f>
        <v>-181989.98</v>
      </c>
      <c r="J19" s="67" t="n">
        <f aca="false">-Hardware!J13</f>
        <v>-204684.57</v>
      </c>
      <c r="K19" s="67" t="n">
        <f aca="false">-Hardware!K13</f>
        <v>-168585.51</v>
      </c>
      <c r="L19" s="67" t="n">
        <f aca="false">-Hardware!L13</f>
        <v>-104418.82</v>
      </c>
      <c r="M19" s="67" t="n">
        <f aca="false">-Hardware!M13</f>
        <v>-210106.29859</v>
      </c>
      <c r="N19" s="67" t="n">
        <f aca="false">-Hardware!N13</f>
        <v>-228604.321114839</v>
      </c>
      <c r="O19" s="67" t="n">
        <f aca="false">-Hardware!O13</f>
        <v>-191375.434405161</v>
      </c>
      <c r="P19" s="67" t="n">
        <f aca="false">-Hardware!P13</f>
        <v>-175236.656433548</v>
      </c>
      <c r="Q19" s="67" t="n">
        <f aca="false">-Hardware!Q13</f>
        <v>-157339.584412903</v>
      </c>
      <c r="R19" s="67" t="n">
        <f aca="false">-Hardware!R13</f>
        <v>-164192.671793548</v>
      </c>
      <c r="S19" s="67" t="n">
        <f aca="false">-Hardware!S13</f>
        <v>-187549.512464516</v>
      </c>
      <c r="T19" s="67" t="n">
        <f aca="false">-Hardware!T13</f>
        <v>-169806.551535484</v>
      </c>
      <c r="U19" s="67" t="n">
        <f aca="false">-Hardware!U13</f>
        <v>-178632.834270968</v>
      </c>
      <c r="V19" s="67" t="n">
        <f aca="false">-Hardware!V13</f>
        <v>-199900.691489032</v>
      </c>
      <c r="W19" s="67" t="n">
        <f aca="false">-Hardware!W13</f>
        <v>-164654.53700129</v>
      </c>
      <c r="X19" s="67" t="n">
        <f aca="false">-Hardware!X13</f>
        <v>-107586.39236129</v>
      </c>
      <c r="Y19" s="67" t="n">
        <f aca="false">-Hardware!Y13</f>
        <v>-210052.364717419</v>
      </c>
      <c r="Z19" s="67" t="n">
        <f aca="false">-Hardware!Z13</f>
        <v>-228604.321114839</v>
      </c>
      <c r="AA19" s="67" t="n">
        <f aca="false">-Hardware!AA13</f>
        <v>-191375.434405161</v>
      </c>
      <c r="AB19" s="67" t="n">
        <f aca="false">-Hardware!AB13</f>
        <v>-175236.656433548</v>
      </c>
    </row>
    <row r="20" customFormat="false" ht="15" hidden="false" customHeight="false" outlineLevel="0" collapsed="false">
      <c r="A20" s="27" t="s">
        <v>411</v>
      </c>
      <c r="B20" s="63" t="s">
        <v>55</v>
      </c>
      <c r="C20" s="66" t="n">
        <f aca="false">SUM(E20:P20)</f>
        <v>-973883.847367526</v>
      </c>
      <c r="D20" s="66" t="n">
        <f aca="false">SUM(Q20:AB20)</f>
        <v>-1079222.86597048</v>
      </c>
      <c r="E20" s="67" t="n">
        <f aca="false">-Licences!E29</f>
        <v>-73876.6</v>
      </c>
      <c r="F20" s="67" t="n">
        <f aca="false">-Licences!F29</f>
        <v>-79377.3766666667</v>
      </c>
      <c r="G20" s="67" t="n">
        <f aca="false">-Licences!G29</f>
        <v>-80626.4266666667</v>
      </c>
      <c r="H20" s="67" t="n">
        <f aca="false">-Licences!H29</f>
        <v>-80878.7466666667</v>
      </c>
      <c r="I20" s="67" t="n">
        <f aca="false">-Licences!I29</f>
        <v>-80071.9466666667</v>
      </c>
      <c r="J20" s="67" t="n">
        <f aca="false">-Licences!J29</f>
        <v>-79976.61</v>
      </c>
      <c r="K20" s="67" t="n">
        <f aca="false">-Licences!K29</f>
        <v>-81694.17</v>
      </c>
      <c r="L20" s="67" t="n">
        <f aca="false">-Licences!L29</f>
        <v>-82133.4533333333</v>
      </c>
      <c r="M20" s="67" t="n">
        <f aca="false">-Licences!M29</f>
        <v>-81959.0932948167</v>
      </c>
      <c r="N20" s="67" t="n">
        <f aca="false">-Licences!N29</f>
        <v>-81930.4677323161</v>
      </c>
      <c r="O20" s="67" t="n">
        <f aca="false">-Licences!O29</f>
        <v>-85814.0361940783</v>
      </c>
      <c r="P20" s="67" t="n">
        <f aca="false">-Licences!P29</f>
        <v>-85544.9201463151</v>
      </c>
      <c r="Q20" s="67" t="n">
        <f aca="false">-Licences!Q29</f>
        <v>-83672.9853977675</v>
      </c>
      <c r="R20" s="67" t="n">
        <f aca="false">-Licences!R29</f>
        <v>-90149.0792342228</v>
      </c>
      <c r="S20" s="67" t="n">
        <f aca="false">-Licences!S29</f>
        <v>-89568.0769670815</v>
      </c>
      <c r="T20" s="67" t="n">
        <f aca="false">-Licences!T29</f>
        <v>-90293.3513264769</v>
      </c>
      <c r="U20" s="67" t="n">
        <f aca="false">-Licences!U29</f>
        <v>-90521.3141463471</v>
      </c>
      <c r="V20" s="67" t="n">
        <f aca="false">-Licences!V29</f>
        <v>-90531.3545023404</v>
      </c>
      <c r="W20" s="67" t="n">
        <f aca="false">-Licences!W29</f>
        <v>-90786.2271735558</v>
      </c>
      <c r="X20" s="67" t="n">
        <f aca="false">-Licences!X29</f>
        <v>-90652.7619064204</v>
      </c>
      <c r="Y20" s="67" t="n">
        <f aca="false">-Licences!Y29</f>
        <v>-90468.8132076727</v>
      </c>
      <c r="Z20" s="67" t="n">
        <f aca="false">-Licences!Z29</f>
        <v>-90784.1415674229</v>
      </c>
      <c r="AA20" s="67" t="n">
        <f aca="false">-Licences!AA29</f>
        <v>-90949.88195605</v>
      </c>
      <c r="AB20" s="67" t="n">
        <f aca="false">-Licences!AB29</f>
        <v>-90844.8785851217</v>
      </c>
    </row>
    <row r="21" customFormat="false" ht="15" hidden="false" customHeight="false" outlineLevel="0" collapsed="false">
      <c r="A21" s="27" t="s">
        <v>412</v>
      </c>
      <c r="B21" s="63" t="s">
        <v>75</v>
      </c>
      <c r="C21" s="66" t="n">
        <f aca="false">SUM(E21:P21)</f>
        <v>-242255.627343739</v>
      </c>
      <c r="D21" s="66" t="n">
        <f aca="false">SUM(Q21:AB21)</f>
        <v>-264679.252671854</v>
      </c>
      <c r="E21" s="67" t="n">
        <f aca="false">-Overheads!E23</f>
        <v>-19340.7451717655</v>
      </c>
      <c r="F21" s="67" t="n">
        <f aca="false">-Overheads!F23</f>
        <v>-19237.6251060221</v>
      </c>
      <c r="G21" s="67" t="n">
        <f aca="false">-Overheads!G23</f>
        <v>-19903.7891836032</v>
      </c>
      <c r="H21" s="67" t="n">
        <f aca="false">-Overheads!H23</f>
        <v>-20060.822867042</v>
      </c>
      <c r="I21" s="67" t="n">
        <f aca="false">-Overheads!I23</f>
        <v>-19856.110724234</v>
      </c>
      <c r="J21" s="67" t="n">
        <f aca="false">-Overheads!J23</f>
        <v>-19742.2967251361</v>
      </c>
      <c r="K21" s="67" t="n">
        <f aca="false">-Overheads!K23</f>
        <v>-20113.804076718</v>
      </c>
      <c r="L21" s="67" t="n">
        <f aca="false">-Overheads!L23</f>
        <v>-20113.033033033</v>
      </c>
      <c r="M21" s="67" t="n">
        <f aca="false">-Overheads!M23</f>
        <v>-20483.1278548373</v>
      </c>
      <c r="N21" s="67" t="n">
        <f aca="false">-Overheads!N23</f>
        <v>-20412.6608829381</v>
      </c>
      <c r="O21" s="67" t="n">
        <f aca="false">-Overheads!O23</f>
        <v>-21502.7644988254</v>
      </c>
      <c r="P21" s="67" t="n">
        <f aca="false">-Overheads!P23</f>
        <v>-21488.8472195842</v>
      </c>
      <c r="Q21" s="67" t="n">
        <f aca="false">-Overheads!Q23</f>
        <v>-21742.3686474888</v>
      </c>
      <c r="R21" s="67" t="n">
        <f aca="false">-Overheads!R23</f>
        <v>-22031.384601173</v>
      </c>
      <c r="S21" s="67" t="n">
        <f aca="false">-Overheads!S23</f>
        <v>-21899.6162492307</v>
      </c>
      <c r="T21" s="67" t="n">
        <f aca="false">-Overheads!T23</f>
        <v>-22065.9334007674</v>
      </c>
      <c r="U21" s="67" t="n">
        <f aca="false">-Overheads!U23</f>
        <v>-22084.2681644399</v>
      </c>
      <c r="V21" s="67" t="n">
        <f aca="false">-Overheads!V23</f>
        <v>-22121.9402781964</v>
      </c>
      <c r="W21" s="67" t="n">
        <f aca="false">-Overheads!W23</f>
        <v>-22142.4358976941</v>
      </c>
      <c r="X21" s="67" t="n">
        <f aca="false">-Overheads!X23</f>
        <v>-22061.6372395006</v>
      </c>
      <c r="Y21" s="67" t="n">
        <f aca="false">-Overheads!Y23</f>
        <v>-22099.3074022724</v>
      </c>
      <c r="Z21" s="67" t="n">
        <f aca="false">-Overheads!Z23</f>
        <v>-22125.0353101878</v>
      </c>
      <c r="AA21" s="67" t="n">
        <f aca="false">-Overheads!AA23</f>
        <v>-22133.7313142819</v>
      </c>
      <c r="AB21" s="67" t="n">
        <f aca="false">-Overheads!AB23</f>
        <v>-22171.5941666205</v>
      </c>
    </row>
    <row r="22" customFormat="false" ht="15" hidden="false" customHeight="false" outlineLevel="0" collapsed="false">
      <c r="A22" s="27" t="s">
        <v>413</v>
      </c>
      <c r="B22" s="63" t="s">
        <v>75</v>
      </c>
      <c r="C22" s="66" t="n">
        <f aca="false">SUM(E22:P22)</f>
        <v>-106759.785805927</v>
      </c>
      <c r="D22" s="66" t="n">
        <f aca="false">SUM(Q22:AB22)</f>
        <v>-110727.186849457</v>
      </c>
      <c r="E22" s="67" t="n">
        <f aca="false">-Overheads!E24</f>
        <v>-8856.6</v>
      </c>
      <c r="F22" s="67" t="n">
        <f aca="false">-Overheads!F24</f>
        <v>-8856.6</v>
      </c>
      <c r="G22" s="67" t="n">
        <f aca="false">-Overheads!G24</f>
        <v>-8883.6</v>
      </c>
      <c r="H22" s="67" t="n">
        <f aca="false">-Overheads!H24</f>
        <v>-8885.4</v>
      </c>
      <c r="I22" s="67" t="n">
        <f aca="false">-Overheads!I24</f>
        <v>-8870.1</v>
      </c>
      <c r="J22" s="67" t="n">
        <f aca="false">-Overheads!J24</f>
        <v>-8871</v>
      </c>
      <c r="K22" s="67" t="n">
        <f aca="false">-Overheads!K24</f>
        <v>-8900.7</v>
      </c>
      <c r="L22" s="67" t="n">
        <f aca="false">-Overheads!L24</f>
        <v>-8902.5</v>
      </c>
      <c r="M22" s="67" t="n">
        <f aca="false">-Overheads!M24</f>
        <v>-8903.7474</v>
      </c>
      <c r="N22" s="67" t="n">
        <f aca="false">-Overheads!N24</f>
        <v>-8898.50999283</v>
      </c>
      <c r="O22" s="67" t="n">
        <f aca="false">-Overheads!O24</f>
        <v>-8966.78609730093</v>
      </c>
      <c r="P22" s="67" t="n">
        <f aca="false">-Overheads!P24</f>
        <v>-8964.24231579587</v>
      </c>
      <c r="Q22" s="67" t="n">
        <f aca="false">-Overheads!Q24</f>
        <v>-9205.5881182133</v>
      </c>
      <c r="R22" s="67" t="n">
        <f aca="false">-Overheads!R24</f>
        <v>-9227.81273198719</v>
      </c>
      <c r="S22" s="67" t="n">
        <f aca="false">-Overheads!S24</f>
        <v>-9220.32892881391</v>
      </c>
      <c r="T22" s="67" t="n">
        <f aca="false">-Overheads!T24</f>
        <v>-9231.61194178613</v>
      </c>
      <c r="U22" s="67" t="n">
        <f aca="false">-Overheads!U24</f>
        <v>-9231.92910662359</v>
      </c>
      <c r="V22" s="67" t="n">
        <f aca="false">-Overheads!V24</f>
        <v>-9233.36857604462</v>
      </c>
      <c r="W22" s="67" t="n">
        <f aca="false">-Overheads!W24</f>
        <v>-9233.50422127518</v>
      </c>
      <c r="X22" s="67" t="n">
        <f aca="false">-Overheads!X24</f>
        <v>-9227.22897851103</v>
      </c>
      <c r="Y22" s="67" t="n">
        <f aca="false">-Overheads!Y24</f>
        <v>-9228.66326148239</v>
      </c>
      <c r="Z22" s="67" t="n">
        <f aca="false">-Overheads!Z24</f>
        <v>-9229.53819211605</v>
      </c>
      <c r="AA22" s="67" t="n">
        <f aca="false">-Overheads!AA24</f>
        <v>-9228.08877579403</v>
      </c>
      <c r="AB22" s="67" t="n">
        <f aca="false">-Overheads!AB24</f>
        <v>-9229.52401680943</v>
      </c>
    </row>
    <row r="23" customFormat="false" ht="15" hidden="false" customHeight="false" outlineLevel="0" collapsed="false">
      <c r="A23" s="27" t="s">
        <v>414</v>
      </c>
      <c r="B23" s="63" t="s">
        <v>75</v>
      </c>
      <c r="C23" s="66" t="n">
        <f aca="false">SUM(E23:P23)</f>
        <v>-63505.4937864255</v>
      </c>
      <c r="D23" s="66" t="n">
        <f aca="false">SUM(Q23:AB23)</f>
        <v>-73838.2880565933</v>
      </c>
      <c r="E23" s="67" t="n">
        <f aca="false">-Overheads!E25</f>
        <v>-5636.01</v>
      </c>
      <c r="F23" s="67" t="n">
        <f aca="false">-Overheads!F25</f>
        <v>-5397.13</v>
      </c>
      <c r="G23" s="67" t="n">
        <f aca="false">-Overheads!G25</f>
        <v>-4560.78</v>
      </c>
      <c r="H23" s="67" t="n">
        <f aca="false">-Overheads!H25</f>
        <v>-4836.18</v>
      </c>
      <c r="I23" s="67" t="n">
        <f aca="false">-Overheads!I25</f>
        <v>-4674.39</v>
      </c>
      <c r="J23" s="67" t="n">
        <f aca="false">-Overheads!J25</f>
        <v>-5555.41</v>
      </c>
      <c r="K23" s="67" t="n">
        <f aca="false">-Overheads!K25</f>
        <v>-5465.7</v>
      </c>
      <c r="L23" s="67" t="n">
        <f aca="false">-Overheads!L25</f>
        <v>-5641.87</v>
      </c>
      <c r="M23" s="67" t="n">
        <f aca="false">-Overheads!M25</f>
        <v>-5474.7</v>
      </c>
      <c r="N23" s="67" t="n">
        <f aca="false">-Overheads!N25</f>
        <v>-5420.04516666667</v>
      </c>
      <c r="O23" s="67" t="n">
        <f aca="false">-Overheads!O25</f>
        <v>-5421.32797305556</v>
      </c>
      <c r="P23" s="67" t="n">
        <f aca="false">-Overheads!P25</f>
        <v>-5421.95064670324</v>
      </c>
      <c r="Q23" s="67" t="n">
        <f aca="false">-Overheads!Q25</f>
        <v>-5557.47662650538</v>
      </c>
      <c r="R23" s="67" t="n">
        <f aca="false">-Overheads!R25</f>
        <v>-5557.46944620728</v>
      </c>
      <c r="S23" s="67" t="n">
        <f aca="false">-Overheads!S25</f>
        <v>-5557.46979581835</v>
      </c>
      <c r="T23" s="67" t="n">
        <f aca="false">-Overheads!T25</f>
        <v>-6367.2198755097</v>
      </c>
      <c r="U23" s="67" t="n">
        <f aca="false">-Overheads!U25</f>
        <v>-6357.77278716784</v>
      </c>
      <c r="V23" s="67" t="n">
        <f aca="false">-Overheads!V25</f>
        <v>-6348.43591893543</v>
      </c>
      <c r="W23" s="67" t="n">
        <f aca="false">-Overheads!W25</f>
        <v>-6348.65506509546</v>
      </c>
      <c r="X23" s="67" t="n">
        <f aca="false">-Overheads!X25</f>
        <v>-6348.76143851964</v>
      </c>
      <c r="Y23" s="67" t="n">
        <f aca="false">-Overheads!Y25</f>
        <v>-6348.75764079116</v>
      </c>
      <c r="Z23" s="67" t="n">
        <f aca="false">-Overheads!Z25</f>
        <v>-6348.75644407471</v>
      </c>
      <c r="AA23" s="67" t="n">
        <f aca="false">-Overheads!AA25</f>
        <v>-6348.75650234323</v>
      </c>
      <c r="AB23" s="67" t="n">
        <f aca="false">-Overheads!AB25</f>
        <v>-6348.75651562512</v>
      </c>
    </row>
    <row r="24" customFormat="false" ht="15" hidden="false" customHeight="false" outlineLevel="0" collapsed="false">
      <c r="A24" s="27" t="s">
        <v>415</v>
      </c>
      <c r="B24" s="63" t="s">
        <v>51</v>
      </c>
      <c r="C24" s="66" t="n">
        <f aca="false">SUM(E24:P24)</f>
        <v>-148995.333053221</v>
      </c>
      <c r="D24" s="66" t="n">
        <f aca="false">SUM(Q24:AB24)</f>
        <v>-146345.882352941</v>
      </c>
      <c r="E24" s="67" t="n">
        <f aca="false">-Projects!E176</f>
        <v>-3140</v>
      </c>
      <c r="F24" s="67" t="n">
        <f aca="false">-Projects!F176</f>
        <v>-4780</v>
      </c>
      <c r="G24" s="67" t="n">
        <f aca="false">-Projects!G176</f>
        <v>-8060</v>
      </c>
      <c r="H24" s="67" t="n">
        <f aca="false">-Projects!H176</f>
        <v>-13800</v>
      </c>
      <c r="I24" s="67" t="n">
        <f aca="false">-Projects!I176</f>
        <v>-16260</v>
      </c>
      <c r="J24" s="67" t="n">
        <f aca="false">-Projects!J176</f>
        <v>-17900</v>
      </c>
      <c r="K24" s="67" t="n">
        <f aca="false">-Projects!K176</f>
        <v>-17080</v>
      </c>
      <c r="L24" s="67" t="n">
        <f aca="false">-Projects!L176</f>
        <v>-11340</v>
      </c>
      <c r="M24" s="67" t="n">
        <f aca="false">-Projects!M176</f>
        <v>-11613.3333333333</v>
      </c>
      <c r="N24" s="67" t="n">
        <f aca="false">-Projects!N176</f>
        <v>-18325.0792717087</v>
      </c>
      <c r="O24" s="67" t="n">
        <f aca="false">-Projects!O176</f>
        <v>-17673.9028011205</v>
      </c>
      <c r="P24" s="67" t="n">
        <f aca="false">-Projects!P176</f>
        <v>-9023.01764705882</v>
      </c>
      <c r="Q24" s="67" t="n">
        <f aca="false">-Projects!Q176</f>
        <v>-9725.44117647059</v>
      </c>
      <c r="R24" s="67" t="n">
        <f aca="false">-Projects!R176</f>
        <v>-12281.9117647059</v>
      </c>
      <c r="S24" s="67" t="n">
        <f aca="false">-Projects!S176</f>
        <v>-13041.6176470588</v>
      </c>
      <c r="T24" s="67" t="n">
        <f aca="false">-Projects!T176</f>
        <v>-12607.5</v>
      </c>
      <c r="U24" s="67" t="n">
        <f aca="false">-Projects!U176</f>
        <v>-12064.8529411765</v>
      </c>
      <c r="V24" s="67" t="n">
        <f aca="false">-Projects!V176</f>
        <v>-13475.7352941176</v>
      </c>
      <c r="W24" s="67" t="n">
        <f aca="false">-Projects!W176</f>
        <v>-11630.7352941176</v>
      </c>
      <c r="X24" s="67" t="n">
        <f aca="false">-Projects!X176</f>
        <v>-8049.26470588235</v>
      </c>
      <c r="Y24" s="67" t="n">
        <f aca="false">-Projects!Y176</f>
        <v>-12933.0882352941</v>
      </c>
      <c r="Z24" s="67" t="n">
        <f aca="false">-Projects!Z176</f>
        <v>-14126.9117647059</v>
      </c>
      <c r="AA24" s="67" t="n">
        <f aca="false">-Projects!AA176</f>
        <v>-13475.7352941176</v>
      </c>
      <c r="AB24" s="67" t="n">
        <f aca="false">-Projects!AB176</f>
        <v>-12933.0882352941</v>
      </c>
    </row>
    <row r="25" customFormat="false" ht="15" hidden="false" customHeight="false" outlineLevel="0" collapsed="false">
      <c r="A25" s="27" t="s">
        <v>416</v>
      </c>
      <c r="B25" s="63" t="s">
        <v>51</v>
      </c>
      <c r="C25" s="66" t="n">
        <f aca="false">SUM(E25:P25)</f>
        <v>0</v>
      </c>
      <c r="D25" s="66" t="n">
        <f aca="false">SUM(Q25:AB25)</f>
        <v>0</v>
      </c>
      <c r="E25" s="67" t="n">
        <f aca="false">-Projects!E160</f>
        <v>-0</v>
      </c>
      <c r="F25" s="67" t="n">
        <f aca="false">-Projects!F160</f>
        <v>-0</v>
      </c>
      <c r="G25" s="67" t="n">
        <f aca="false">-Projects!G160</f>
        <v>-0</v>
      </c>
      <c r="H25" s="67" t="n">
        <f aca="false">-Projects!H160</f>
        <v>-0</v>
      </c>
      <c r="I25" s="67" t="n">
        <f aca="false">-Projects!I160</f>
        <v>-0</v>
      </c>
      <c r="J25" s="67" t="n">
        <f aca="false">-Projects!J160</f>
        <v>-10147.14</v>
      </c>
      <c r="K25" s="67" t="n">
        <f aca="false">-Projects!K160</f>
        <v>4731.43</v>
      </c>
      <c r="L25" s="67" t="n">
        <f aca="false">-Projects!L160</f>
        <v>2908.57</v>
      </c>
      <c r="M25" s="67" t="n">
        <f aca="false">-Projects!M160</f>
        <v>835.711428571449</v>
      </c>
      <c r="N25" s="67" t="n">
        <f aca="false">-Projects!N160</f>
        <v>835.714285714257</v>
      </c>
      <c r="O25" s="67" t="n">
        <f aca="false">-Projects!O160</f>
        <v>835.714285714294</v>
      </c>
      <c r="P25" s="67" t="n">
        <f aca="false">-Projects!P160</f>
        <v>-0</v>
      </c>
      <c r="Q25" s="67" t="n">
        <f aca="false">-Projects!Q160</f>
        <v>-0</v>
      </c>
      <c r="R25" s="67" t="n">
        <f aca="false">-Projects!R160</f>
        <v>-0</v>
      </c>
      <c r="S25" s="67" t="n">
        <f aca="false">-Projects!S160</f>
        <v>-0</v>
      </c>
      <c r="T25" s="67" t="n">
        <f aca="false">-Projects!T160</f>
        <v>-0</v>
      </c>
      <c r="U25" s="67" t="n">
        <f aca="false">-Projects!U160</f>
        <v>-0</v>
      </c>
      <c r="V25" s="67" t="n">
        <f aca="false">-Projects!V160</f>
        <v>-0</v>
      </c>
      <c r="W25" s="67" t="n">
        <f aca="false">-Projects!W160</f>
        <v>-0</v>
      </c>
      <c r="X25" s="67" t="n">
        <f aca="false">-Projects!X160</f>
        <v>-0</v>
      </c>
      <c r="Y25" s="67" t="n">
        <f aca="false">-Projects!Y160</f>
        <v>-0</v>
      </c>
      <c r="Z25" s="67" t="n">
        <f aca="false">-Projects!Z160</f>
        <v>-0</v>
      </c>
      <c r="AA25" s="67" t="n">
        <f aca="false">-Projects!AA160</f>
        <v>-0</v>
      </c>
      <c r="AB25" s="67" t="n">
        <f aca="false">-Projects!AB160</f>
        <v>-0</v>
      </c>
    </row>
    <row r="26" customFormat="false" ht="15" hidden="false" customHeight="false" outlineLevel="0" collapsed="false">
      <c r="A26" s="27" t="s">
        <v>417</v>
      </c>
      <c r="B26" s="63" t="s">
        <v>61</v>
      </c>
      <c r="C26" s="66" t="n">
        <f aca="false">SUM(E26:P26)</f>
        <v>-1239115.29347238</v>
      </c>
      <c r="D26" s="66" t="n">
        <f aca="false">SUM(Q26:AB26)</f>
        <v>-1463888.92170498</v>
      </c>
      <c r="E26" s="67" t="n">
        <f aca="false">-People!E102</f>
        <v>-110061.07375</v>
      </c>
      <c r="F26" s="67" t="n">
        <f aca="false">-People!F102</f>
        <v>-109146.08</v>
      </c>
      <c r="G26" s="67" t="n">
        <f aca="false">-People!G102</f>
        <v>-106970.92</v>
      </c>
      <c r="H26" s="67" t="n">
        <f aca="false">-People!H102</f>
        <v>-100776</v>
      </c>
      <c r="I26" s="67" t="n">
        <f aca="false">-People!I102</f>
        <v>-100722.31125</v>
      </c>
      <c r="J26" s="67" t="n">
        <f aca="false">-People!J102</f>
        <v>-96649.6</v>
      </c>
      <c r="K26" s="67" t="n">
        <f aca="false">-People!K102</f>
        <v>-94329.375</v>
      </c>
      <c r="L26" s="67" t="n">
        <f aca="false">-People!L102</f>
        <v>-87485.175</v>
      </c>
      <c r="M26" s="67" t="n">
        <f aca="false">-People!M102</f>
        <v>-98302.128875</v>
      </c>
      <c r="N26" s="67" t="n">
        <f aca="false">-People!N102</f>
        <v>-107085.058294167</v>
      </c>
      <c r="O26" s="67" t="n">
        <f aca="false">-People!O102</f>
        <v>-113742.899907401</v>
      </c>
      <c r="P26" s="67" t="n">
        <f aca="false">-People!P102</f>
        <v>-113844.671395815</v>
      </c>
      <c r="Q26" s="67" t="n">
        <f aca="false">-People!Q102</f>
        <v>-121726.036101709</v>
      </c>
      <c r="R26" s="67" t="n">
        <f aca="false">-People!R102</f>
        <v>-120658.490504792</v>
      </c>
      <c r="S26" s="67" t="n">
        <f aca="false">-People!S102</f>
        <v>-122681.738231846</v>
      </c>
      <c r="T26" s="67" t="n">
        <f aca="false">-People!T102</f>
        <v>-120706.260667623</v>
      </c>
      <c r="U26" s="67" t="n">
        <f aca="false">-People!U102</f>
        <v>-123797.372985849</v>
      </c>
      <c r="V26" s="67" t="n">
        <f aca="false">-People!V102</f>
        <v>-123314.620577285</v>
      </c>
      <c r="W26" s="67" t="n">
        <f aca="false">-People!W102</f>
        <v>-117938.986890318</v>
      </c>
      <c r="X26" s="67" t="n">
        <f aca="false">-People!X102</f>
        <v>-109359.480827088</v>
      </c>
      <c r="Y26" s="67" t="n">
        <f aca="false">-People!Y102</f>
        <v>-124323.050544736</v>
      </c>
      <c r="Z26" s="67" t="n">
        <f aca="false">-People!Z102</f>
        <v>-127529.755482342</v>
      </c>
      <c r="AA26" s="67" t="n">
        <f aca="false">-People!AA102</f>
        <v>-128598.526842016</v>
      </c>
      <c r="AB26" s="67" t="n">
        <f aca="false">-People!AB102</f>
        <v>-123254.602049381</v>
      </c>
    </row>
    <row r="27" customFormat="false" ht="15" hidden="false" customHeight="false" outlineLevel="0" collapsed="false">
      <c r="A27" s="27" t="s">
        <v>418</v>
      </c>
      <c r="B27" s="63" t="s">
        <v>61</v>
      </c>
      <c r="C27" s="66" t="n">
        <f aca="false">SUM(E27:P27)</f>
        <v>-543010.165247759</v>
      </c>
      <c r="D27" s="66" t="n">
        <f aca="false">SUM(Q27:AB27)</f>
        <v>-594094.188411212</v>
      </c>
      <c r="E27" s="67" t="n">
        <f aca="false">-People!E119</f>
        <v>-43812.6</v>
      </c>
      <c r="F27" s="67" t="n">
        <f aca="false">-People!F119</f>
        <v>-46895.93</v>
      </c>
      <c r="G27" s="67" t="n">
        <f aca="false">-People!G119</f>
        <v>-46895.93</v>
      </c>
      <c r="H27" s="67" t="n">
        <f aca="false">-People!H119</f>
        <v>-45328.705</v>
      </c>
      <c r="I27" s="67" t="n">
        <f aca="false">-People!I119</f>
        <v>-46504.12375</v>
      </c>
      <c r="J27" s="67" t="n">
        <f aca="false">-People!J119</f>
        <v>-45328.705</v>
      </c>
      <c r="K27" s="67" t="n">
        <f aca="false">-People!K119</f>
        <v>-43369.67375</v>
      </c>
      <c r="L27" s="67" t="n">
        <f aca="false">-People!L119</f>
        <v>-40235.22375</v>
      </c>
      <c r="M27" s="67" t="n">
        <f aca="false">-People!M119</f>
        <v>-45339.50203125</v>
      </c>
      <c r="N27" s="67" t="n">
        <f aca="false">-People!N119</f>
        <v>-46117.5829114583</v>
      </c>
      <c r="O27" s="67" t="n">
        <f aca="false">-People!O119</f>
        <v>-46509.4266409252</v>
      </c>
      <c r="P27" s="67" t="n">
        <f aca="false">-People!P119</f>
        <v>-46672.7624141257</v>
      </c>
      <c r="Q27" s="67" t="n">
        <f aca="false">-People!Q119</f>
        <v>-51401.8854837283</v>
      </c>
      <c r="R27" s="67" t="n">
        <f aca="false">-People!R119</f>
        <v>-50946.6236817158</v>
      </c>
      <c r="S27" s="67" t="n">
        <f aca="false">-People!S119</f>
        <v>-50917.3408020203</v>
      </c>
      <c r="T27" s="67" t="n">
        <f aca="false">-People!T119</f>
        <v>-49216.9593734799</v>
      </c>
      <c r="U27" s="67" t="n">
        <f aca="false">-People!U119</f>
        <v>-50492.8511237518</v>
      </c>
      <c r="V27" s="67" t="n">
        <f aca="false">-People!V119</f>
        <v>-49217.1854111103</v>
      </c>
      <c r="W27" s="67" t="n">
        <f aca="false">-People!W119</f>
        <v>-47091.0841456356</v>
      </c>
      <c r="X27" s="67" t="n">
        <f aca="false">-People!X119</f>
        <v>-43689.3251921548</v>
      </c>
      <c r="Y27" s="67" t="n">
        <f aca="false">-People!Y119</f>
        <v>-49642.4034843922</v>
      </c>
      <c r="Z27" s="67" t="n">
        <f aca="false">-People!Z119</f>
        <v>-50918.0631148714</v>
      </c>
      <c r="AA27" s="67" t="n">
        <f aca="false">-People!AA119</f>
        <v>-51343.2829917955</v>
      </c>
      <c r="AB27" s="67" t="n">
        <f aca="false">-People!AB119</f>
        <v>-49217.1836065565</v>
      </c>
    </row>
    <row r="28" customFormat="false" ht="15" hidden="false" customHeight="false" outlineLevel="0" collapsed="false">
      <c r="A28" s="59" t="s">
        <v>419</v>
      </c>
      <c r="B28" s="60"/>
      <c r="C28" s="61" t="n">
        <f aca="false">SUM(E28:P28)</f>
        <v>-5476137.13662053</v>
      </c>
      <c r="D28" s="61" t="n">
        <f aca="false">SUM(Q28:AB28)</f>
        <v>-5867728.13801752</v>
      </c>
      <c r="E28" s="61" t="n">
        <f aca="false">SUM(E19:E27)</f>
        <v>-424272.048921765</v>
      </c>
      <c r="F28" s="61" t="n">
        <f aca="false">SUM(F19:F27)</f>
        <v>-442668.471772689</v>
      </c>
      <c r="G28" s="61" t="n">
        <f aca="false">SUM(G19:G27)</f>
        <v>-468065.77585027</v>
      </c>
      <c r="H28" s="61" t="n">
        <f aca="false">SUM(H19:H27)</f>
        <v>-447485.374533709</v>
      </c>
      <c r="I28" s="61" t="n">
        <f aca="false">SUM(I19:I27)</f>
        <v>-458948.962390901</v>
      </c>
      <c r="J28" s="61" t="n">
        <f aca="false">SUM(J19:J27)</f>
        <v>-488855.331725136</v>
      </c>
      <c r="K28" s="61" t="n">
        <f aca="false">SUM(K19:K27)</f>
        <v>-434807.502826718</v>
      </c>
      <c r="L28" s="61" t="n">
        <f aca="false">SUM(L19:L27)</f>
        <v>-357361.505116366</v>
      </c>
      <c r="M28" s="61" t="n">
        <f aca="false">SUM(M19:M27)</f>
        <v>-481346.219950666</v>
      </c>
      <c r="N28" s="61" t="n">
        <f aca="false">SUM(N19:N27)</f>
        <v>-515958.011081209</v>
      </c>
      <c r="O28" s="61" t="n">
        <f aca="false">SUM(O19:O27)</f>
        <v>-490170.864232154</v>
      </c>
      <c r="P28" s="61" t="n">
        <f aca="false">SUM(P19:P27)</f>
        <v>-466197.068218946</v>
      </c>
      <c r="Q28" s="61" t="n">
        <f aca="false">SUM(Q19:Q27)</f>
        <v>-460371.365964786</v>
      </c>
      <c r="R28" s="61" t="n">
        <f aca="false">SUM(R19:R27)</f>
        <v>-475045.443758352</v>
      </c>
      <c r="S28" s="61" t="n">
        <f aca="false">SUM(S19:S27)</f>
        <v>-500435.701086385</v>
      </c>
      <c r="T28" s="61" t="n">
        <f aca="false">SUM(T19:T27)</f>
        <v>-480295.388121126</v>
      </c>
      <c r="U28" s="61" t="n">
        <f aca="false">SUM(U19:U27)</f>
        <v>-493183.195526324</v>
      </c>
      <c r="V28" s="61" t="n">
        <f aca="false">SUM(V19:V27)</f>
        <v>-514143.332047062</v>
      </c>
      <c r="W28" s="61" t="n">
        <f aca="false">SUM(W19:W27)</f>
        <v>-469826.165688982</v>
      </c>
      <c r="X28" s="61" t="n">
        <f aca="false">SUM(X19:X27)</f>
        <v>-396974.852649367</v>
      </c>
      <c r="Y28" s="61" t="n">
        <f aca="false">SUM(Y19:Y27)</f>
        <v>-525096.448494061</v>
      </c>
      <c r="Z28" s="61" t="n">
        <f aca="false">SUM(Z19:Z27)</f>
        <v>-549666.522990559</v>
      </c>
      <c r="AA28" s="61" t="n">
        <f aca="false">SUM(AA19:AA27)</f>
        <v>-513453.43808156</v>
      </c>
      <c r="AB28" s="61" t="n">
        <f aca="false">SUM(AB19:AB27)</f>
        <v>-489236.283608957</v>
      </c>
    </row>
    <row r="29" customFormat="false" ht="15" hidden="false" customHeight="false" outlineLevel="0" collapsed="false">
      <c r="A29" s="59" t="s">
        <v>420</v>
      </c>
      <c r="B29" s="60" t="s">
        <v>421</v>
      </c>
      <c r="C29" s="61" t="n">
        <f aca="false">SUM(E29:P29)</f>
        <v>2055974.04404518</v>
      </c>
      <c r="D29" s="61" t="n">
        <f aca="false">SUM(Q29:AB29)</f>
        <v>2336710.35743467</v>
      </c>
      <c r="E29" s="61" t="n">
        <f aca="false">E17+E28</f>
        <v>141215.811078235</v>
      </c>
      <c r="F29" s="61" t="n">
        <f aca="false">F17+F28</f>
        <v>154221.114893978</v>
      </c>
      <c r="G29" s="61" t="n">
        <f aca="false">G17+G28</f>
        <v>185472.280816397</v>
      </c>
      <c r="H29" s="61" t="n">
        <f aca="false">H17+H28</f>
        <v>185947.432132958</v>
      </c>
      <c r="I29" s="61" t="n">
        <f aca="false">I17+I28</f>
        <v>173194.414275766</v>
      </c>
      <c r="J29" s="61" t="n">
        <f aca="false">J17+J28</f>
        <v>113382.768274864</v>
      </c>
      <c r="K29" s="61" t="n">
        <f aca="false">K17+K28</f>
        <v>167597.077173282</v>
      </c>
      <c r="L29" s="61" t="n">
        <f aca="false">L17+L28</f>
        <v>139295.988216967</v>
      </c>
      <c r="M29" s="61" t="n">
        <f aca="false">M17+M28</f>
        <v>195862.789584994</v>
      </c>
      <c r="N29" s="61" t="n">
        <f aca="false">N17+N28</f>
        <v>204212.59220893</v>
      </c>
      <c r="O29" s="61" t="n">
        <f aca="false">O17+O28</f>
        <v>192657.01503343</v>
      </c>
      <c r="P29" s="61" t="n">
        <f aca="false">P17+P28</f>
        <v>202914.760355384</v>
      </c>
      <c r="Q29" s="61" t="n">
        <f aca="false">Q17+Q28</f>
        <v>182945.964673014</v>
      </c>
      <c r="R29" s="61" t="n">
        <f aca="false">R17+R28</f>
        <v>185867.675806411</v>
      </c>
      <c r="S29" s="61" t="n">
        <f aca="false">S17+S28</f>
        <v>195942.755277364</v>
      </c>
      <c r="T29" s="61" t="n">
        <f aca="false">T17+T28</f>
        <v>194494.661340505</v>
      </c>
      <c r="U29" s="61" t="n">
        <f aca="false">U17+U28</f>
        <v>188522.945651021</v>
      </c>
      <c r="V29" s="61" t="n">
        <f aca="false">V17+V28</f>
        <v>205579.748719516</v>
      </c>
      <c r="W29" s="61" t="n">
        <f aca="false">W17+W28</f>
        <v>193296.349454729</v>
      </c>
      <c r="X29" s="61" t="n">
        <f aca="false">X17+X28</f>
        <v>166104.817599747</v>
      </c>
      <c r="Y29" s="61" t="n">
        <f aca="false">Y17+Y28</f>
        <v>204885.470647311</v>
      </c>
      <c r="Z29" s="61" t="n">
        <f aca="false">Z17+Z28</f>
        <v>212850.595521298</v>
      </c>
      <c r="AA29" s="61" t="n">
        <f aca="false">AA17+AA28</f>
        <v>201719.255066092</v>
      </c>
      <c r="AB29" s="61" t="n">
        <f aca="false">AB17+AB28</f>
        <v>204500.117677662</v>
      </c>
    </row>
    <row r="30" customFormat="false" ht="15" hidden="false" customHeight="false" outlineLevel="0" collapsed="false">
      <c r="A30" s="27" t="s">
        <v>422</v>
      </c>
      <c r="B30" s="63"/>
      <c r="C30" s="65" t="n">
        <f aca="false">IF(C17=0,0,C29/C17)</f>
        <v>0.272961191720416</v>
      </c>
      <c r="D30" s="65" t="n">
        <f aca="false">IF(D17=0,0,D29/D17)</f>
        <v>0.284810515519122</v>
      </c>
      <c r="E30" s="79" t="n">
        <f aca="false">IF(E17=0,0,E29/E17)</f>
        <v>0.249723859815902</v>
      </c>
      <c r="F30" s="79" t="n">
        <f aca="false">IF(F17=0,0,F29/F17)</f>
        <v>0.258374611216166</v>
      </c>
      <c r="G30" s="79" t="n">
        <f aca="false">IF(G17=0,0,G29/G17)</f>
        <v>0.283797215670022</v>
      </c>
      <c r="H30" s="79" t="n">
        <f aca="false">IF(H17=0,0,H29/H17)</f>
        <v>0.293555101939659</v>
      </c>
      <c r="I30" s="79" t="n">
        <f aca="false">IF(I17=0,0,I29/I17)</f>
        <v>0.273979639222088</v>
      </c>
      <c r="J30" s="79" t="n">
        <f aca="false">IF(J17=0,0,J29/J17)</f>
        <v>0.18826900568872</v>
      </c>
      <c r="K30" s="79" t="n">
        <f aca="false">IF(K17=0,0,K29/K17)</f>
        <v>0.278213484321919</v>
      </c>
      <c r="L30" s="79" t="n">
        <f aca="false">IF(L17=0,0,L29/L17)</f>
        <v>0.280466901409415</v>
      </c>
      <c r="M30" s="79" t="n">
        <f aca="false">IF(M17=0,0,M29/M17)</f>
        <v>0.289220590433802</v>
      </c>
      <c r="N30" s="79" t="n">
        <f aca="false">IF(N17=0,0,N29/N17)</f>
        <v>0.283561410693485</v>
      </c>
      <c r="O30" s="79" t="n">
        <f aca="false">IF(O17=0,0,O29/O17)</f>
        <v>0.282145795278076</v>
      </c>
      <c r="P30" s="79" t="n">
        <f aca="false">IF(P17=0,0,P29/P17)</f>
        <v>0.303259861341463</v>
      </c>
      <c r="Q30" s="79" t="n">
        <f aca="false">IF(Q17=0,0,Q29/Q17)</f>
        <v>0.284379039643836</v>
      </c>
      <c r="R30" s="79" t="n">
        <f aca="false">IF(R17=0,0,R29/R17)</f>
        <v>0.281228606762734</v>
      </c>
      <c r="S30" s="79" t="n">
        <f aca="false">IF(S17=0,0,S29/S17)</f>
        <v>0.281373947580903</v>
      </c>
      <c r="T30" s="79" t="n">
        <f aca="false">IF(T17=0,0,T29/T17)</f>
        <v>0.288229889423649</v>
      </c>
      <c r="U30" s="79" t="n">
        <f aca="false">IF(U17=0,0,U29/U17)</f>
        <v>0.276545764022943</v>
      </c>
      <c r="V30" s="79" t="n">
        <f aca="false">IF(V17=0,0,V29/V17)</f>
        <v>0.285637287747606</v>
      </c>
      <c r="W30" s="79" t="n">
        <f aca="false">IF(W17=0,0,W29/W17)</f>
        <v>0.291494173460296</v>
      </c>
      <c r="X30" s="79" t="n">
        <f aca="false">IF(X17=0,0,X29/X17)</f>
        <v>0.294993455413263</v>
      </c>
      <c r="Y30" s="79" t="n">
        <f aca="false">IF(Y17=0,0,Y29/Y17)</f>
        <v>0.280671980051649</v>
      </c>
      <c r="Z30" s="79" t="n">
        <f aca="false">IF(Z17=0,0,Z29/Z17)</f>
        <v>0.279142055114384</v>
      </c>
      <c r="AA30" s="79" t="n">
        <f aca="false">IF(AA17=0,0,AA29/AA17)</f>
        <v>0.282056707420239</v>
      </c>
      <c r="AB30" s="79" t="n">
        <f aca="false">IF(AB17=0,0,AB29/AB17)</f>
        <v>0.294780722617974</v>
      </c>
    </row>
    <row r="31" customFormat="false" ht="15" hidden="false" customHeight="false" outlineLevel="0" collapsed="false">
      <c r="A31" s="21" t="s">
        <v>423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row>
    <row r="32" customFormat="false" ht="15" hidden="false" customHeight="false" outlineLevel="0" collapsed="false">
      <c r="A32" s="27" t="s">
        <v>424</v>
      </c>
      <c r="B32" s="63" t="s">
        <v>61</v>
      </c>
      <c r="C32" s="66" t="n">
        <f aca="false">SUM(E32:P32)</f>
        <v>-306227.995260875</v>
      </c>
      <c r="D32" s="66" t="n">
        <f aca="false">SUM(Q32:AB32)</f>
        <v>-360304.893512492</v>
      </c>
      <c r="E32" s="67" t="n">
        <f aca="false">-(People!E137+People!E170)</f>
        <v>-23414.03775</v>
      </c>
      <c r="F32" s="67" t="n">
        <f aca="false">-(People!F137+People!F170)</f>
        <v>-23266.457625</v>
      </c>
      <c r="G32" s="67" t="n">
        <f aca="false">-(People!G137+People!G170)</f>
        <v>-26739.534</v>
      </c>
      <c r="H32" s="67" t="n">
        <f aca="false">-(People!H137+People!H170)</f>
        <v>-25769.175875</v>
      </c>
      <c r="I32" s="67" t="n">
        <f aca="false">-(People!I137+People!I170)</f>
        <v>-26581.8215</v>
      </c>
      <c r="J32" s="67" t="n">
        <f aca="false">-(People!J137+People!J170)</f>
        <v>-26039.6315</v>
      </c>
      <c r="K32" s="67" t="n">
        <f aca="false">-(People!K137+People!K170)</f>
        <v>-24949.317</v>
      </c>
      <c r="L32" s="67" t="n">
        <f aca="false">-(People!L137+People!L170)</f>
        <v>-22881.224875</v>
      </c>
      <c r="M32" s="67" t="n">
        <f aca="false">-(People!M137+People!M170)</f>
        <v>-26153.34588</v>
      </c>
      <c r="N32" s="67" t="n">
        <f aca="false">-(People!N137+People!N170)</f>
        <v>-26569.06388625</v>
      </c>
      <c r="O32" s="67" t="n">
        <f aca="false">-(People!O137+People!O170)</f>
        <v>-26930.974560625</v>
      </c>
      <c r="P32" s="67" t="n">
        <f aca="false">-(People!P137+People!P170)</f>
        <v>-26933.4108090003</v>
      </c>
      <c r="Q32" s="67" t="n">
        <f aca="false">-(People!Q137+People!Q170)</f>
        <v>-30890.785530171</v>
      </c>
      <c r="R32" s="67" t="n">
        <f aca="false">-(People!R137+People!R170)</f>
        <v>-30743.245869639</v>
      </c>
      <c r="S32" s="67" t="n">
        <f aca="false">-(People!S137+People!S170)</f>
        <v>-30830.8533931639</v>
      </c>
      <c r="T32" s="67" t="n">
        <f aca="false">-(People!T137+People!T170)</f>
        <v>-29833.0806174821</v>
      </c>
      <c r="U32" s="67" t="n">
        <f aca="false">-(People!U137+People!U170)</f>
        <v>-30606.0055442844</v>
      </c>
      <c r="V32" s="67" t="n">
        <f aca="false">-(People!V137+People!V170)</f>
        <v>-30001.5744385502</v>
      </c>
      <c r="W32" s="67" t="n">
        <f aca="false">-(People!W137+People!W170)</f>
        <v>-28598.8488802597</v>
      </c>
      <c r="X32" s="67" t="n">
        <f aca="false">-(People!X137+People!X170)</f>
        <v>-26354.4975179886</v>
      </c>
      <c r="Y32" s="67" t="n">
        <f aca="false">-(People!Y137+People!Y170)</f>
        <v>-30301.8812985244</v>
      </c>
      <c r="Z32" s="67" t="n">
        <f aca="false">-(People!Z137+People!Z170)</f>
        <v>-31123.7448450772</v>
      </c>
      <c r="AA32" s="67" t="n">
        <f aca="false">-(People!AA137+People!AA170)</f>
        <v>-31157.184801323</v>
      </c>
      <c r="AB32" s="67" t="n">
        <f aca="false">-(People!AB137+People!AB170)</f>
        <v>-29863.1907760285</v>
      </c>
    </row>
    <row r="33" customFormat="false" ht="15" hidden="false" customHeight="false" outlineLevel="0" collapsed="false">
      <c r="A33" s="27" t="s">
        <v>425</v>
      </c>
      <c r="B33" s="63" t="s">
        <v>61</v>
      </c>
      <c r="C33" s="66" t="n">
        <f aca="false">SUM(E33:P33)</f>
        <v>-398839.389237029</v>
      </c>
      <c r="D33" s="66" t="n">
        <f aca="false">SUM(Q33:AB33)</f>
        <v>-405738.685744107</v>
      </c>
      <c r="E33" s="67" t="n">
        <f aca="false">-People!E154</f>
        <v>-34442.72375</v>
      </c>
      <c r="F33" s="67" t="n">
        <f aca="false">-People!F154</f>
        <v>-34157.48</v>
      </c>
      <c r="G33" s="67" t="n">
        <f aca="false">-People!G154</f>
        <v>-34157.48</v>
      </c>
      <c r="H33" s="67" t="n">
        <f aca="false">-People!H154</f>
        <v>-33016.505</v>
      </c>
      <c r="I33" s="67" t="n">
        <f aca="false">-People!I154</f>
        <v>-33872.23625</v>
      </c>
      <c r="J33" s="67" t="n">
        <f aca="false">-People!J154</f>
        <v>-33016.505</v>
      </c>
      <c r="K33" s="67" t="n">
        <f aca="false">-People!K154</f>
        <v>-31590.28625</v>
      </c>
      <c r="L33" s="67" t="n">
        <f aca="false">-People!L154</f>
        <v>-29308.33625</v>
      </c>
      <c r="M33" s="67" t="n">
        <f aca="false">-People!M154</f>
        <v>-33135.23503125</v>
      </c>
      <c r="N33" s="67" t="n">
        <f aca="false">-People!N154</f>
        <v>-33816.754186875</v>
      </c>
      <c r="O33" s="67" t="n">
        <f aca="false">-People!O154</f>
        <v>-34100.8704610664</v>
      </c>
      <c r="P33" s="67" t="n">
        <f aca="false">-People!P154</f>
        <v>-34224.9770578377</v>
      </c>
      <c r="Q33" s="67" t="n">
        <f aca="false">-People!Q154</f>
        <v>-35069.545090877</v>
      </c>
      <c r="R33" s="67" t="n">
        <f aca="false">-People!R154</f>
        <v>-34779.236774236</v>
      </c>
      <c r="S33" s="67" t="n">
        <f aca="false">-People!S154</f>
        <v>-34779.2368609591</v>
      </c>
      <c r="T33" s="67" t="n">
        <f aca="false">-People!T154</f>
        <v>-33618.0207926939</v>
      </c>
      <c r="U33" s="67" t="n">
        <f aca="false">-People!U154</f>
        <v>-34488.932859008</v>
      </c>
      <c r="V33" s="67" t="n">
        <f aca="false">-People!V154</f>
        <v>-33618.0207920757</v>
      </c>
      <c r="W33" s="67" t="n">
        <f aca="false">-People!W154</f>
        <v>-32166.5006806926</v>
      </c>
      <c r="X33" s="67" t="n">
        <f aca="false">-People!X154</f>
        <v>-29844.0685024753</v>
      </c>
      <c r="Y33" s="67" t="n">
        <f aca="false">-People!Y154</f>
        <v>-33908.3248143564</v>
      </c>
      <c r="Z33" s="67" t="n">
        <f aca="false">-People!Z154</f>
        <v>-34779.2368811881</v>
      </c>
      <c r="AA33" s="67" t="n">
        <f aca="false">-People!AA154</f>
        <v>-35069.5409034653</v>
      </c>
      <c r="AB33" s="67" t="n">
        <f aca="false">-People!AB154</f>
        <v>-33618.0207920792</v>
      </c>
    </row>
    <row r="34" customFormat="false" ht="15" hidden="false" customHeight="false" outlineLevel="0" collapsed="false">
      <c r="A34" s="27" t="s">
        <v>426</v>
      </c>
      <c r="B34" s="63" t="s">
        <v>75</v>
      </c>
      <c r="C34" s="66" t="n">
        <f aca="false">SUM(E34:P34)</f>
        <v>-126000</v>
      </c>
      <c r="D34" s="66" t="n">
        <f aca="false">SUM(Q34:AB34)</f>
        <v>-129150</v>
      </c>
      <c r="E34" s="67" t="n">
        <f aca="false">-Overheads!E9</f>
        <v>-10500</v>
      </c>
      <c r="F34" s="67" t="n">
        <f aca="false">-Overheads!F9</f>
        <v>-10500</v>
      </c>
      <c r="G34" s="67" t="n">
        <f aca="false">-Overheads!G9</f>
        <v>-10500</v>
      </c>
      <c r="H34" s="67" t="n">
        <f aca="false">-Overheads!H9</f>
        <v>-10500</v>
      </c>
      <c r="I34" s="67" t="n">
        <f aca="false">-Overheads!I9</f>
        <v>-10500</v>
      </c>
      <c r="J34" s="67" t="n">
        <f aca="false">-Overheads!J9</f>
        <v>-10500</v>
      </c>
      <c r="K34" s="67" t="n">
        <f aca="false">-Overheads!K9</f>
        <v>-10500</v>
      </c>
      <c r="L34" s="67" t="n">
        <f aca="false">-Overheads!L9</f>
        <v>-10500</v>
      </c>
      <c r="M34" s="67" t="n">
        <f aca="false">-Overheads!M9</f>
        <v>-10500</v>
      </c>
      <c r="N34" s="67" t="n">
        <f aca="false">-Overheads!N9</f>
        <v>-10500</v>
      </c>
      <c r="O34" s="67" t="n">
        <f aca="false">-Overheads!O9</f>
        <v>-10500</v>
      </c>
      <c r="P34" s="67" t="n">
        <f aca="false">-Overheads!P9</f>
        <v>-10500</v>
      </c>
      <c r="Q34" s="67" t="n">
        <f aca="false">-Overheads!Q9</f>
        <v>-10762.5</v>
      </c>
      <c r="R34" s="67" t="n">
        <f aca="false">-Overheads!R9</f>
        <v>-10762.5</v>
      </c>
      <c r="S34" s="67" t="n">
        <f aca="false">-Overheads!S9</f>
        <v>-10762.5</v>
      </c>
      <c r="T34" s="67" t="n">
        <f aca="false">-Overheads!T9</f>
        <v>-10762.5</v>
      </c>
      <c r="U34" s="67" t="n">
        <f aca="false">-Overheads!U9</f>
        <v>-10762.5</v>
      </c>
      <c r="V34" s="67" t="n">
        <f aca="false">-Overheads!V9</f>
        <v>-10762.5</v>
      </c>
      <c r="W34" s="67" t="n">
        <f aca="false">-Overheads!W9</f>
        <v>-10762.5</v>
      </c>
      <c r="X34" s="67" t="n">
        <f aca="false">-Overheads!X9</f>
        <v>-10762.5</v>
      </c>
      <c r="Y34" s="67" t="n">
        <f aca="false">-Overheads!Y9</f>
        <v>-10762.5</v>
      </c>
      <c r="Z34" s="67" t="n">
        <f aca="false">-Overheads!Z9</f>
        <v>-10762.5</v>
      </c>
      <c r="AA34" s="67" t="n">
        <f aca="false">-Overheads!AA9</f>
        <v>-10762.5</v>
      </c>
      <c r="AB34" s="67" t="n">
        <f aca="false">-Overheads!AB9</f>
        <v>-10762.5</v>
      </c>
    </row>
    <row r="35" customFormat="false" ht="15" hidden="false" customHeight="false" outlineLevel="0" collapsed="false">
      <c r="A35" s="27" t="s">
        <v>427</v>
      </c>
      <c r="B35" s="63" t="s">
        <v>75</v>
      </c>
      <c r="C35" s="66" t="n">
        <f aca="false">SUM(E35:P35)</f>
        <v>-57778.99</v>
      </c>
      <c r="D35" s="66" t="n">
        <f aca="false">SUM(Q35:AB35)</f>
        <v>-58892.4</v>
      </c>
      <c r="E35" s="67" t="n">
        <f aca="false">-Overheads!E10</f>
        <v>-4238.97</v>
      </c>
      <c r="F35" s="67" t="n">
        <f aca="false">-Overheads!F10</f>
        <v>-4194.22</v>
      </c>
      <c r="G35" s="67" t="n">
        <f aca="false">-Overheads!G10</f>
        <v>-12151.32</v>
      </c>
      <c r="H35" s="67" t="n">
        <f aca="false">-Overheads!H10</f>
        <v>-4122.45</v>
      </c>
      <c r="I35" s="67" t="n">
        <f aca="false">-Overheads!I10</f>
        <v>-4050.77</v>
      </c>
      <c r="J35" s="67" t="n">
        <f aca="false">-Overheads!J10</f>
        <v>-4306.92</v>
      </c>
      <c r="K35" s="67" t="n">
        <f aca="false">-Overheads!K10</f>
        <v>-3980.83</v>
      </c>
      <c r="L35" s="67" t="n">
        <f aca="false">-Overheads!L10</f>
        <v>-4029.51</v>
      </c>
      <c r="M35" s="67" t="n">
        <f aca="false">-Overheads!M10</f>
        <v>-4176</v>
      </c>
      <c r="N35" s="67" t="n">
        <f aca="false">-Overheads!N10</f>
        <v>-4176</v>
      </c>
      <c r="O35" s="67" t="n">
        <f aca="false">-Overheads!O10</f>
        <v>-4176</v>
      </c>
      <c r="P35" s="67" t="n">
        <f aca="false">-Overheads!P10</f>
        <v>-4176</v>
      </c>
      <c r="Q35" s="67" t="n">
        <f aca="false">-Overheads!Q10</f>
        <v>-4280.4</v>
      </c>
      <c r="R35" s="67" t="n">
        <f aca="false">-Overheads!R10</f>
        <v>-4280.4</v>
      </c>
      <c r="S35" s="67" t="n">
        <f aca="false">-Overheads!S10</f>
        <v>-11808</v>
      </c>
      <c r="T35" s="67" t="n">
        <f aca="false">-Overheads!T10</f>
        <v>-4280.4</v>
      </c>
      <c r="U35" s="67" t="n">
        <f aca="false">-Overheads!U10</f>
        <v>-4280.4</v>
      </c>
      <c r="V35" s="67" t="n">
        <f aca="false">-Overheads!V10</f>
        <v>-4280.4</v>
      </c>
      <c r="W35" s="67" t="n">
        <f aca="false">-Overheads!W10</f>
        <v>-4280.4</v>
      </c>
      <c r="X35" s="67" t="n">
        <f aca="false">-Overheads!X10</f>
        <v>-4280.4</v>
      </c>
      <c r="Y35" s="67" t="n">
        <f aca="false">-Overheads!Y10</f>
        <v>-4280.4</v>
      </c>
      <c r="Z35" s="67" t="n">
        <f aca="false">-Overheads!Z10</f>
        <v>-4280.4</v>
      </c>
      <c r="AA35" s="67" t="n">
        <f aca="false">-Overheads!AA10</f>
        <v>-4280.4</v>
      </c>
      <c r="AB35" s="67" t="n">
        <f aca="false">-Overheads!AB10</f>
        <v>-4280.4</v>
      </c>
    </row>
    <row r="36" customFormat="false" ht="15" hidden="false" customHeight="false" outlineLevel="0" collapsed="false">
      <c r="A36" s="27" t="s">
        <v>428</v>
      </c>
      <c r="B36" s="63" t="s">
        <v>75</v>
      </c>
      <c r="C36" s="66" t="n">
        <f aca="false">SUM(E36:P36)</f>
        <v>-22800</v>
      </c>
      <c r="D36" s="66" t="n">
        <f aca="false">SUM(Q36:AB36)</f>
        <v>-23370</v>
      </c>
      <c r="E36" s="67" t="n">
        <f aca="false">-Overheads!E11</f>
        <v>-1900</v>
      </c>
      <c r="F36" s="67" t="n">
        <f aca="false">-Overheads!F11</f>
        <v>-1900</v>
      </c>
      <c r="G36" s="67" t="n">
        <f aca="false">-Overheads!G11</f>
        <v>-1900</v>
      </c>
      <c r="H36" s="67" t="n">
        <f aca="false">-Overheads!H11</f>
        <v>-1900</v>
      </c>
      <c r="I36" s="67" t="n">
        <f aca="false">-Overheads!I11</f>
        <v>-1900</v>
      </c>
      <c r="J36" s="67" t="n">
        <f aca="false">-Overheads!J11</f>
        <v>-1900</v>
      </c>
      <c r="K36" s="67" t="n">
        <f aca="false">-Overheads!K11</f>
        <v>-1900</v>
      </c>
      <c r="L36" s="67" t="n">
        <f aca="false">-Overheads!L11</f>
        <v>-1900</v>
      </c>
      <c r="M36" s="67" t="n">
        <f aca="false">-Overheads!M11</f>
        <v>-1900</v>
      </c>
      <c r="N36" s="67" t="n">
        <f aca="false">-Overheads!N11</f>
        <v>-1900</v>
      </c>
      <c r="O36" s="67" t="n">
        <f aca="false">-Overheads!O11</f>
        <v>-1900</v>
      </c>
      <c r="P36" s="67" t="n">
        <f aca="false">-Overheads!P11</f>
        <v>-1900</v>
      </c>
      <c r="Q36" s="67" t="n">
        <f aca="false">-Overheads!Q11</f>
        <v>-1947.5</v>
      </c>
      <c r="R36" s="67" t="n">
        <f aca="false">-Overheads!R11</f>
        <v>-1947.5</v>
      </c>
      <c r="S36" s="67" t="n">
        <f aca="false">-Overheads!S11</f>
        <v>-1947.5</v>
      </c>
      <c r="T36" s="67" t="n">
        <f aca="false">-Overheads!T11</f>
        <v>-1947.5</v>
      </c>
      <c r="U36" s="67" t="n">
        <f aca="false">-Overheads!U11</f>
        <v>-1947.5</v>
      </c>
      <c r="V36" s="67" t="n">
        <f aca="false">-Overheads!V11</f>
        <v>-1947.5</v>
      </c>
      <c r="W36" s="67" t="n">
        <f aca="false">-Overheads!W11</f>
        <v>-1947.5</v>
      </c>
      <c r="X36" s="67" t="n">
        <f aca="false">-Overheads!X11</f>
        <v>-1947.5</v>
      </c>
      <c r="Y36" s="67" t="n">
        <f aca="false">-Overheads!Y11</f>
        <v>-1947.5</v>
      </c>
      <c r="Z36" s="67" t="n">
        <f aca="false">-Overheads!Z11</f>
        <v>-1947.5</v>
      </c>
      <c r="AA36" s="67" t="n">
        <f aca="false">-Overheads!AA11</f>
        <v>-1947.5</v>
      </c>
      <c r="AB36" s="67" t="n">
        <f aca="false">-Overheads!AB11</f>
        <v>-1947.5</v>
      </c>
    </row>
    <row r="37" customFormat="false" ht="15" hidden="false" customHeight="false" outlineLevel="0" collapsed="false">
      <c r="A37" s="27" t="s">
        <v>429</v>
      </c>
      <c r="B37" s="63" t="s">
        <v>75</v>
      </c>
      <c r="C37" s="66" t="n">
        <f aca="false">SUM(E37:P37)</f>
        <v>-81168.87</v>
      </c>
      <c r="D37" s="66" t="n">
        <f aca="false">SUM(Q37:AB37)</f>
        <v>-83081.375</v>
      </c>
      <c r="E37" s="67" t="n">
        <f aca="false">-Overheads!E12</f>
        <v>-5721.45</v>
      </c>
      <c r="F37" s="67" t="n">
        <f aca="false">-Overheads!F12</f>
        <v>-6104.26</v>
      </c>
      <c r="G37" s="67" t="n">
        <f aca="false">-Overheads!G12</f>
        <v>-6356.46</v>
      </c>
      <c r="H37" s="67" t="n">
        <f aca="false">-Overheads!H12</f>
        <v>-6204.67</v>
      </c>
      <c r="I37" s="67" t="n">
        <f aca="false">-Overheads!I12</f>
        <v>-11651.5</v>
      </c>
      <c r="J37" s="67" t="n">
        <f aca="false">-Overheads!J12</f>
        <v>-6129.67</v>
      </c>
      <c r="K37" s="67" t="n">
        <f aca="false">-Overheads!K12</f>
        <v>-5939.39</v>
      </c>
      <c r="L37" s="67" t="n">
        <f aca="false">-Overheads!L12</f>
        <v>-3226.47</v>
      </c>
      <c r="M37" s="67" t="n">
        <f aca="false">-Overheads!M12</f>
        <v>-6045</v>
      </c>
      <c r="N37" s="67" t="n">
        <f aca="false">-Overheads!N12</f>
        <v>-11700</v>
      </c>
      <c r="O37" s="67" t="n">
        <f aca="false">-Overheads!O12</f>
        <v>-6045</v>
      </c>
      <c r="P37" s="67" t="n">
        <f aca="false">-Overheads!P12</f>
        <v>-6045</v>
      </c>
      <c r="Q37" s="67" t="n">
        <f aca="false">-Overheads!Q12</f>
        <v>-6196.125</v>
      </c>
      <c r="R37" s="67" t="n">
        <f aca="false">-Overheads!R12</f>
        <v>-6196.125</v>
      </c>
      <c r="S37" s="67" t="n">
        <f aca="false">-Overheads!S12</f>
        <v>-6196.125</v>
      </c>
      <c r="T37" s="67" t="n">
        <f aca="false">-Overheads!T12</f>
        <v>-6196.125</v>
      </c>
      <c r="U37" s="67" t="n">
        <f aca="false">-Overheads!U12</f>
        <v>-11992.5</v>
      </c>
      <c r="V37" s="67" t="n">
        <f aca="false">-Overheads!V12</f>
        <v>-6196.125</v>
      </c>
      <c r="W37" s="67" t="n">
        <f aca="false">-Overheads!W12</f>
        <v>-6196.125</v>
      </c>
      <c r="X37" s="67" t="n">
        <f aca="false">-Overheads!X12</f>
        <v>-3331.25</v>
      </c>
      <c r="Y37" s="67" t="n">
        <f aca="false">-Overheads!Y12</f>
        <v>-6196.125</v>
      </c>
      <c r="Z37" s="67" t="n">
        <f aca="false">-Overheads!Z12</f>
        <v>-11992.5</v>
      </c>
      <c r="AA37" s="67" t="n">
        <f aca="false">-Overheads!AA12</f>
        <v>-6196.125</v>
      </c>
      <c r="AB37" s="67" t="n">
        <f aca="false">-Overheads!AB12</f>
        <v>-6196.125</v>
      </c>
    </row>
    <row r="38" customFormat="false" ht="15" hidden="false" customHeight="false" outlineLevel="0" collapsed="false">
      <c r="A38" s="27" t="s">
        <v>430</v>
      </c>
      <c r="B38" s="63" t="s">
        <v>75</v>
      </c>
      <c r="C38" s="66" t="n">
        <f aca="false">SUM(E38:P38)</f>
        <v>-45455.42</v>
      </c>
      <c r="D38" s="66" t="n">
        <f aca="false">SUM(Q38:AB38)</f>
        <v>-46740</v>
      </c>
      <c r="E38" s="67" t="n">
        <f aca="false">-Overheads!E13</f>
        <v>-3760.19</v>
      </c>
      <c r="F38" s="67" t="n">
        <f aca="false">-Overheads!F13</f>
        <v>-3786.21</v>
      </c>
      <c r="G38" s="67" t="n">
        <f aca="false">-Overheads!G13</f>
        <v>-3761.17</v>
      </c>
      <c r="H38" s="67" t="n">
        <f aca="false">-Overheads!H13</f>
        <v>-3893.49</v>
      </c>
      <c r="I38" s="67" t="n">
        <f aca="false">-Overheads!I13</f>
        <v>-3796.58</v>
      </c>
      <c r="J38" s="67" t="n">
        <f aca="false">-Overheads!J13</f>
        <v>-3623.46</v>
      </c>
      <c r="K38" s="67" t="n">
        <f aca="false">-Overheads!K13</f>
        <v>-3822.18</v>
      </c>
      <c r="L38" s="67" t="n">
        <f aca="false">-Overheads!L13</f>
        <v>-3812.14</v>
      </c>
      <c r="M38" s="67" t="n">
        <f aca="false">-Overheads!M13</f>
        <v>-3800</v>
      </c>
      <c r="N38" s="67" t="n">
        <f aca="false">-Overheads!N13</f>
        <v>-3800</v>
      </c>
      <c r="O38" s="67" t="n">
        <f aca="false">-Overheads!O13</f>
        <v>-3800</v>
      </c>
      <c r="P38" s="67" t="n">
        <f aca="false">-Overheads!P13</f>
        <v>-3800</v>
      </c>
      <c r="Q38" s="67" t="n">
        <f aca="false">-Overheads!Q13</f>
        <v>-3895</v>
      </c>
      <c r="R38" s="67" t="n">
        <f aca="false">-Overheads!R13</f>
        <v>-3895</v>
      </c>
      <c r="S38" s="67" t="n">
        <f aca="false">-Overheads!S13</f>
        <v>-3895</v>
      </c>
      <c r="T38" s="67" t="n">
        <f aca="false">-Overheads!T13</f>
        <v>-3895</v>
      </c>
      <c r="U38" s="67" t="n">
        <f aca="false">-Overheads!U13</f>
        <v>-3895</v>
      </c>
      <c r="V38" s="67" t="n">
        <f aca="false">-Overheads!V13</f>
        <v>-3895</v>
      </c>
      <c r="W38" s="67" t="n">
        <f aca="false">-Overheads!W13</f>
        <v>-3895</v>
      </c>
      <c r="X38" s="67" t="n">
        <f aca="false">-Overheads!X13</f>
        <v>-3895</v>
      </c>
      <c r="Y38" s="67" t="n">
        <f aca="false">-Overheads!Y13</f>
        <v>-3895</v>
      </c>
      <c r="Z38" s="67" t="n">
        <f aca="false">-Overheads!Z13</f>
        <v>-3895</v>
      </c>
      <c r="AA38" s="67" t="n">
        <f aca="false">-Overheads!AA13</f>
        <v>-3895</v>
      </c>
      <c r="AB38" s="67" t="n">
        <f aca="false">-Overheads!AB13</f>
        <v>-3895</v>
      </c>
    </row>
    <row r="39" customFormat="false" ht="15" hidden="false" customHeight="false" outlineLevel="0" collapsed="false">
      <c r="A39" s="27" t="s">
        <v>431</v>
      </c>
      <c r="B39" s="63" t="s">
        <v>75</v>
      </c>
      <c r="C39" s="66" t="n">
        <f aca="false">SUM(E39:P39)</f>
        <v>-27528.1709722222</v>
      </c>
      <c r="D39" s="66" t="n">
        <f aca="false">SUM(Q39:AB39)</f>
        <v>-41046.7559870157</v>
      </c>
      <c r="E39" s="67" t="n">
        <f aca="false">-Overheads!E14</f>
        <v>-404.52</v>
      </c>
      <c r="F39" s="67" t="n">
        <f aca="false">-Overheads!F14</f>
        <v>-2528.86</v>
      </c>
      <c r="G39" s="67" t="n">
        <f aca="false">-Overheads!G14</f>
        <v>-2601.49</v>
      </c>
      <c r="H39" s="67" t="n">
        <f aca="false">-Overheads!H14</f>
        <v>-387.16</v>
      </c>
      <c r="I39" s="67" t="n">
        <f aca="false">-Overheads!I14</f>
        <v>-399.43</v>
      </c>
      <c r="J39" s="67" t="n">
        <f aca="false">-Overheads!J14</f>
        <v>-2520.56</v>
      </c>
      <c r="K39" s="67" t="n">
        <f aca="false">-Overheads!K14</f>
        <v>-2643.47</v>
      </c>
      <c r="L39" s="67" t="n">
        <f aca="false">-Overheads!L14</f>
        <v>-397.58</v>
      </c>
      <c r="M39" s="67" t="n">
        <f aca="false">-Overheads!M14</f>
        <v>-400</v>
      </c>
      <c r="N39" s="67" t="n">
        <f aca="false">-Overheads!N14</f>
        <v>-7000</v>
      </c>
      <c r="O39" s="67" t="n">
        <f aca="false">-Overheads!O14</f>
        <v>-6330.83333333333</v>
      </c>
      <c r="P39" s="67" t="n">
        <f aca="false">-Overheads!P14</f>
        <v>-1914.26763888889</v>
      </c>
      <c r="Q39" s="67" t="n">
        <f aca="false">-Overheads!Q14</f>
        <v>-10784.8872957176</v>
      </c>
      <c r="R39" s="67" t="n">
        <f aca="false">-Overheads!R14</f>
        <v>-2035.69088243702</v>
      </c>
      <c r="S39" s="67" t="n">
        <f aca="false">-Overheads!S14</f>
        <v>-4234.3831690186</v>
      </c>
      <c r="T39" s="67" t="n">
        <f aca="false">-Overheads!T14</f>
        <v>-4330.97252272862</v>
      </c>
      <c r="U39" s="67" t="n">
        <f aca="false">-Overheads!U14</f>
        <v>-2129.89914326903</v>
      </c>
      <c r="V39" s="67" t="n">
        <f aca="false">-Overheads!V14</f>
        <v>-4354.48942763392</v>
      </c>
      <c r="W39" s="67" t="n">
        <f aca="false">-Overheads!W14</f>
        <v>-2179.88128524583</v>
      </c>
      <c r="X39" s="67" t="n">
        <f aca="false">-Overheads!X14</f>
        <v>-2179.29793945579</v>
      </c>
      <c r="Y39" s="67" t="n">
        <f aca="false">-Overheads!Y14</f>
        <v>-2204.67517551168</v>
      </c>
      <c r="Z39" s="67" t="n">
        <f aca="false">-Overheads!Z14</f>
        <v>-2204.3859141768</v>
      </c>
      <c r="AA39" s="67" t="n">
        <f aca="false">-Overheads!AA14</f>
        <v>-2204.09322117335</v>
      </c>
      <c r="AB39" s="67" t="n">
        <f aca="false">-Overheads!AB14</f>
        <v>-2204.10001064744</v>
      </c>
    </row>
    <row r="40" customFormat="false" ht="15" hidden="false" customHeight="false" outlineLevel="0" collapsed="false">
      <c r="A40" s="27" t="s">
        <v>432</v>
      </c>
      <c r="B40" s="63" t="s">
        <v>75</v>
      </c>
      <c r="C40" s="66" t="n">
        <f aca="false">SUM(E40:P40)</f>
        <v>-38540.99</v>
      </c>
      <c r="D40" s="66" t="n">
        <f aca="false">SUM(Q40:AB40)</f>
        <v>-39360</v>
      </c>
      <c r="E40" s="67" t="n">
        <f aca="false">-Overheads!E15</f>
        <v>-3255.03</v>
      </c>
      <c r="F40" s="67" t="n">
        <f aca="false">-Overheads!F15</f>
        <v>-3233.46</v>
      </c>
      <c r="G40" s="67" t="n">
        <f aca="false">-Overheads!G15</f>
        <v>-3246.93</v>
      </c>
      <c r="H40" s="67" t="n">
        <f aca="false">-Overheads!H15</f>
        <v>-3103.37</v>
      </c>
      <c r="I40" s="67" t="n">
        <f aca="false">-Overheads!I15</f>
        <v>-3316.44</v>
      </c>
      <c r="J40" s="67" t="n">
        <f aca="false">-Overheads!J15</f>
        <v>-3255.01</v>
      </c>
      <c r="K40" s="67" t="n">
        <f aca="false">-Overheads!K15</f>
        <v>-3174.36</v>
      </c>
      <c r="L40" s="67" t="n">
        <f aca="false">-Overheads!L15</f>
        <v>-3156.39</v>
      </c>
      <c r="M40" s="67" t="n">
        <f aca="false">-Overheads!M15</f>
        <v>-3200</v>
      </c>
      <c r="N40" s="67" t="n">
        <f aca="false">-Overheads!N15</f>
        <v>-3200</v>
      </c>
      <c r="O40" s="67" t="n">
        <f aca="false">-Overheads!O15</f>
        <v>-3200</v>
      </c>
      <c r="P40" s="67" t="n">
        <f aca="false">-Overheads!P15</f>
        <v>-3200</v>
      </c>
      <c r="Q40" s="67" t="n">
        <f aca="false">-Overheads!Q15</f>
        <v>-3280</v>
      </c>
      <c r="R40" s="67" t="n">
        <f aca="false">-Overheads!R15</f>
        <v>-3280</v>
      </c>
      <c r="S40" s="67" t="n">
        <f aca="false">-Overheads!S15</f>
        <v>-3280</v>
      </c>
      <c r="T40" s="67" t="n">
        <f aca="false">-Overheads!T15</f>
        <v>-3280</v>
      </c>
      <c r="U40" s="67" t="n">
        <f aca="false">-Overheads!U15</f>
        <v>-3280</v>
      </c>
      <c r="V40" s="67" t="n">
        <f aca="false">-Overheads!V15</f>
        <v>-3280</v>
      </c>
      <c r="W40" s="67" t="n">
        <f aca="false">-Overheads!W15</f>
        <v>-3280</v>
      </c>
      <c r="X40" s="67" t="n">
        <f aca="false">-Overheads!X15</f>
        <v>-3280</v>
      </c>
      <c r="Y40" s="67" t="n">
        <f aca="false">-Overheads!Y15</f>
        <v>-3280</v>
      </c>
      <c r="Z40" s="67" t="n">
        <f aca="false">-Overheads!Z15</f>
        <v>-3280</v>
      </c>
      <c r="AA40" s="67" t="n">
        <f aca="false">-Overheads!AA15</f>
        <v>-3280</v>
      </c>
      <c r="AB40" s="67" t="n">
        <f aca="false">-Overheads!AB15</f>
        <v>-3280</v>
      </c>
    </row>
    <row r="41" customFormat="false" ht="15" hidden="false" customHeight="false" outlineLevel="0" collapsed="false">
      <c r="A41" s="27" t="s">
        <v>433</v>
      </c>
      <c r="B41" s="63" t="s">
        <v>75</v>
      </c>
      <c r="C41" s="66" t="n">
        <f aca="false">SUM(E41:P41)</f>
        <v>-50352.73</v>
      </c>
      <c r="D41" s="66" t="n">
        <f aca="false">SUM(Q41:AB41)</f>
        <v>-51660</v>
      </c>
      <c r="E41" s="67" t="n">
        <f aca="false">-Overheads!E16</f>
        <v>-4317.95</v>
      </c>
      <c r="F41" s="67" t="n">
        <f aca="false">-Overheads!F16</f>
        <v>-4386.24</v>
      </c>
      <c r="G41" s="67" t="n">
        <f aca="false">-Overheads!G16</f>
        <v>-4056.41</v>
      </c>
      <c r="H41" s="67" t="n">
        <f aca="false">-Overheads!H16</f>
        <v>-3876.23</v>
      </c>
      <c r="I41" s="67" t="n">
        <f aca="false">-Overheads!I16</f>
        <v>-4219.65</v>
      </c>
      <c r="J41" s="67" t="n">
        <f aca="false">-Overheads!J16</f>
        <v>-4256.38</v>
      </c>
      <c r="K41" s="67" t="n">
        <f aca="false">-Overheads!K16</f>
        <v>-4126.14</v>
      </c>
      <c r="L41" s="67" t="n">
        <f aca="false">-Overheads!L16</f>
        <v>-4313.73</v>
      </c>
      <c r="M41" s="67" t="n">
        <f aca="false">-Overheads!M16</f>
        <v>-4200</v>
      </c>
      <c r="N41" s="67" t="n">
        <f aca="false">-Overheads!N16</f>
        <v>-4200</v>
      </c>
      <c r="O41" s="67" t="n">
        <f aca="false">-Overheads!O16</f>
        <v>-4200</v>
      </c>
      <c r="P41" s="67" t="n">
        <f aca="false">-Overheads!P16</f>
        <v>-4200</v>
      </c>
      <c r="Q41" s="67" t="n">
        <f aca="false">-Overheads!Q16</f>
        <v>-4305</v>
      </c>
      <c r="R41" s="67" t="n">
        <f aca="false">-Overheads!R16</f>
        <v>-4305</v>
      </c>
      <c r="S41" s="67" t="n">
        <f aca="false">-Overheads!S16</f>
        <v>-4305</v>
      </c>
      <c r="T41" s="67" t="n">
        <f aca="false">-Overheads!T16</f>
        <v>-4305</v>
      </c>
      <c r="U41" s="67" t="n">
        <f aca="false">-Overheads!U16</f>
        <v>-4305</v>
      </c>
      <c r="V41" s="67" t="n">
        <f aca="false">-Overheads!V16</f>
        <v>-4305</v>
      </c>
      <c r="W41" s="67" t="n">
        <f aca="false">-Overheads!W16</f>
        <v>-4305</v>
      </c>
      <c r="X41" s="67" t="n">
        <f aca="false">-Overheads!X16</f>
        <v>-4305</v>
      </c>
      <c r="Y41" s="67" t="n">
        <f aca="false">-Overheads!Y16</f>
        <v>-4305</v>
      </c>
      <c r="Z41" s="67" t="n">
        <f aca="false">-Overheads!Z16</f>
        <v>-4305</v>
      </c>
      <c r="AA41" s="67" t="n">
        <f aca="false">-Overheads!AA16</f>
        <v>-4305</v>
      </c>
      <c r="AB41" s="67" t="n">
        <f aca="false">-Overheads!AB16</f>
        <v>-4305</v>
      </c>
    </row>
    <row r="42" customFormat="false" ht="15" hidden="false" customHeight="false" outlineLevel="0" collapsed="false">
      <c r="A42" s="27" t="s">
        <v>434</v>
      </c>
      <c r="B42" s="63" t="s">
        <v>75</v>
      </c>
      <c r="C42" s="66" t="n">
        <f aca="false">SUM(E42:P42)</f>
        <v>-32721.74</v>
      </c>
      <c r="D42" s="66" t="n">
        <f aca="false">SUM(Q42:AB42)</f>
        <v>-33210</v>
      </c>
      <c r="E42" s="67" t="n">
        <f aca="false">-Overheads!E17</f>
        <v>-2842.61</v>
      </c>
      <c r="F42" s="67" t="n">
        <f aca="false">-Overheads!F17</f>
        <v>-2764.22</v>
      </c>
      <c r="G42" s="67" t="n">
        <f aca="false">-Overheads!G17</f>
        <v>-2772.09</v>
      </c>
      <c r="H42" s="67" t="n">
        <f aca="false">-Overheads!H17</f>
        <v>-2659.64</v>
      </c>
      <c r="I42" s="67" t="n">
        <f aca="false">-Overheads!I17</f>
        <v>-2737.06</v>
      </c>
      <c r="J42" s="67" t="n">
        <f aca="false">-Overheads!J17</f>
        <v>-2713.85</v>
      </c>
      <c r="K42" s="67" t="n">
        <f aca="false">-Overheads!K17</f>
        <v>-2662.66</v>
      </c>
      <c r="L42" s="67" t="n">
        <f aca="false">-Overheads!L17</f>
        <v>-2769.61</v>
      </c>
      <c r="M42" s="67" t="n">
        <f aca="false">-Overheads!M17</f>
        <v>-2700</v>
      </c>
      <c r="N42" s="67" t="n">
        <f aca="false">-Overheads!N17</f>
        <v>-2700</v>
      </c>
      <c r="O42" s="67" t="n">
        <f aca="false">-Overheads!O17</f>
        <v>-2700</v>
      </c>
      <c r="P42" s="67" t="n">
        <f aca="false">-Overheads!P17</f>
        <v>-2700</v>
      </c>
      <c r="Q42" s="67" t="n">
        <f aca="false">-Overheads!Q17</f>
        <v>-2767.5</v>
      </c>
      <c r="R42" s="67" t="n">
        <f aca="false">-Overheads!R17</f>
        <v>-2767.5</v>
      </c>
      <c r="S42" s="67" t="n">
        <f aca="false">-Overheads!S17</f>
        <v>-2767.5</v>
      </c>
      <c r="T42" s="67" t="n">
        <f aca="false">-Overheads!T17</f>
        <v>-2767.5</v>
      </c>
      <c r="U42" s="67" t="n">
        <f aca="false">-Overheads!U17</f>
        <v>-2767.5</v>
      </c>
      <c r="V42" s="67" t="n">
        <f aca="false">-Overheads!V17</f>
        <v>-2767.5</v>
      </c>
      <c r="W42" s="67" t="n">
        <f aca="false">-Overheads!W17</f>
        <v>-2767.5</v>
      </c>
      <c r="X42" s="67" t="n">
        <f aca="false">-Overheads!X17</f>
        <v>-2767.5</v>
      </c>
      <c r="Y42" s="67" t="n">
        <f aca="false">-Overheads!Y17</f>
        <v>-2767.5</v>
      </c>
      <c r="Z42" s="67" t="n">
        <f aca="false">-Overheads!Z17</f>
        <v>-2767.5</v>
      </c>
      <c r="AA42" s="67" t="n">
        <f aca="false">-Overheads!AA17</f>
        <v>-2767.5</v>
      </c>
      <c r="AB42" s="67" t="n">
        <f aca="false">-Overheads!AB17</f>
        <v>-2767.5</v>
      </c>
    </row>
    <row r="43" customFormat="false" ht="15" hidden="false" customHeight="false" outlineLevel="0" collapsed="false">
      <c r="A43" s="27" t="s">
        <v>435</v>
      </c>
      <c r="B43" s="63" t="s">
        <v>75</v>
      </c>
      <c r="C43" s="66" t="n">
        <f aca="false">SUM(E43:P43)</f>
        <v>-5338.16</v>
      </c>
      <c r="D43" s="66" t="n">
        <f aca="false">SUM(Q43:AB43)</f>
        <v>-5535</v>
      </c>
      <c r="E43" s="67" t="n">
        <f aca="false">-Overheads!E18</f>
        <v>-425.58</v>
      </c>
      <c r="F43" s="67" t="n">
        <f aca="false">-Overheads!F18</f>
        <v>-453.22</v>
      </c>
      <c r="G43" s="67" t="n">
        <f aca="false">-Overheads!G18</f>
        <v>-441.7</v>
      </c>
      <c r="H43" s="67" t="n">
        <f aca="false">-Overheads!H18</f>
        <v>-436.67</v>
      </c>
      <c r="I43" s="67" t="n">
        <f aca="false">-Overheads!I18</f>
        <v>-451.04</v>
      </c>
      <c r="J43" s="67" t="n">
        <f aca="false">-Overheads!J18</f>
        <v>-454.52</v>
      </c>
      <c r="K43" s="67" t="n">
        <f aca="false">-Overheads!K18</f>
        <v>-427.67</v>
      </c>
      <c r="L43" s="67" t="n">
        <f aca="false">-Overheads!L18</f>
        <v>-447.76</v>
      </c>
      <c r="M43" s="67" t="n">
        <f aca="false">-Overheads!M18</f>
        <v>-450</v>
      </c>
      <c r="N43" s="67" t="n">
        <f aca="false">-Overheads!N18</f>
        <v>-450</v>
      </c>
      <c r="O43" s="67" t="n">
        <f aca="false">-Overheads!O18</f>
        <v>-450</v>
      </c>
      <c r="P43" s="67" t="n">
        <f aca="false">-Overheads!P18</f>
        <v>-450</v>
      </c>
      <c r="Q43" s="67" t="n">
        <f aca="false">-Overheads!Q18</f>
        <v>-461.25</v>
      </c>
      <c r="R43" s="67" t="n">
        <f aca="false">-Overheads!R18</f>
        <v>-461.25</v>
      </c>
      <c r="S43" s="67" t="n">
        <f aca="false">-Overheads!S18</f>
        <v>-461.25</v>
      </c>
      <c r="T43" s="67" t="n">
        <f aca="false">-Overheads!T18</f>
        <v>-461.25</v>
      </c>
      <c r="U43" s="67" t="n">
        <f aca="false">-Overheads!U18</f>
        <v>-461.25</v>
      </c>
      <c r="V43" s="67" t="n">
        <f aca="false">-Overheads!V18</f>
        <v>-461.25</v>
      </c>
      <c r="W43" s="67" t="n">
        <f aca="false">-Overheads!W18</f>
        <v>-461.25</v>
      </c>
      <c r="X43" s="67" t="n">
        <f aca="false">-Overheads!X18</f>
        <v>-461.25</v>
      </c>
      <c r="Y43" s="67" t="n">
        <f aca="false">-Overheads!Y18</f>
        <v>-461.25</v>
      </c>
      <c r="Z43" s="67" t="n">
        <f aca="false">-Overheads!Z18</f>
        <v>-461.25</v>
      </c>
      <c r="AA43" s="67" t="n">
        <f aca="false">-Overheads!AA18</f>
        <v>-461.25</v>
      </c>
      <c r="AB43" s="67" t="n">
        <f aca="false">-Overheads!AB18</f>
        <v>-461.25</v>
      </c>
    </row>
    <row r="44" customFormat="false" ht="15" hidden="false" customHeight="false" outlineLevel="0" collapsed="false">
      <c r="A44" s="59" t="s">
        <v>436</v>
      </c>
      <c r="B44" s="60"/>
      <c r="C44" s="61" t="n">
        <f aca="false">SUM(E44:P44)</f>
        <v>-1192752.45547013</v>
      </c>
      <c r="D44" s="61" t="n">
        <f aca="false">SUM(Q44:AB44)</f>
        <v>-1278089.11024361</v>
      </c>
      <c r="E44" s="61" t="n">
        <f aca="false">SUM(E32:E43)</f>
        <v>-95223.0615</v>
      </c>
      <c r="F44" s="61" t="n">
        <f aca="false">SUM(F32:F43)</f>
        <v>-97274.627625</v>
      </c>
      <c r="G44" s="61" t="n">
        <f aca="false">SUM(G32:G43)</f>
        <v>-108684.584</v>
      </c>
      <c r="H44" s="61" t="n">
        <f aca="false">SUM(H32:H43)</f>
        <v>-95869.360875</v>
      </c>
      <c r="I44" s="61" t="n">
        <f aca="false">SUM(I32:I43)</f>
        <v>-103476.52775</v>
      </c>
      <c r="J44" s="61" t="n">
        <f aca="false">SUM(J32:J43)</f>
        <v>-98716.5065</v>
      </c>
      <c r="K44" s="61" t="n">
        <f aca="false">SUM(K32:K43)</f>
        <v>-95716.30325</v>
      </c>
      <c r="L44" s="61" t="n">
        <f aca="false">SUM(L32:L43)</f>
        <v>-86742.751125</v>
      </c>
      <c r="M44" s="61" t="n">
        <f aca="false">SUM(M32:M43)</f>
        <v>-96659.58091125</v>
      </c>
      <c r="N44" s="61" t="n">
        <f aca="false">SUM(N32:N43)</f>
        <v>-110011.818073125</v>
      </c>
      <c r="O44" s="61" t="n">
        <f aca="false">SUM(O32:O43)</f>
        <v>-104333.678355025</v>
      </c>
      <c r="P44" s="61" t="n">
        <f aca="false">SUM(P32:P43)</f>
        <v>-100043.655505727</v>
      </c>
      <c r="Q44" s="61" t="n">
        <f aca="false">SUM(Q32:Q43)</f>
        <v>-114640.492916766</v>
      </c>
      <c r="R44" s="61" t="n">
        <f aca="false">SUM(R32:R43)</f>
        <v>-105453.448526312</v>
      </c>
      <c r="S44" s="61" t="n">
        <f aca="false">SUM(S32:S43)</f>
        <v>-115267.348423142</v>
      </c>
      <c r="T44" s="61" t="n">
        <f aca="false">SUM(T32:T43)</f>
        <v>-105677.348932905</v>
      </c>
      <c r="U44" s="61" t="n">
        <f aca="false">SUM(U32:U43)</f>
        <v>-110916.487546561</v>
      </c>
      <c r="V44" s="61" t="n">
        <f aca="false">SUM(V32:V43)</f>
        <v>-105869.35965826</v>
      </c>
      <c r="W44" s="61" t="n">
        <f aca="false">SUM(W32:W43)</f>
        <v>-100840.505846198</v>
      </c>
      <c r="X44" s="61" t="n">
        <f aca="false">SUM(X32:X43)</f>
        <v>-93408.2639599196</v>
      </c>
      <c r="Y44" s="61" t="n">
        <f aca="false">SUM(Y32:Y43)</f>
        <v>-104310.156288392</v>
      </c>
      <c r="Z44" s="61" t="n">
        <f aca="false">SUM(Z32:Z43)</f>
        <v>-111799.017640442</v>
      </c>
      <c r="AA44" s="61" t="n">
        <f aca="false">SUM(AA32:AA43)</f>
        <v>-106326.093925962</v>
      </c>
      <c r="AB44" s="61" t="n">
        <f aca="false">SUM(AB32:AB43)</f>
        <v>-103580.586578755</v>
      </c>
    </row>
    <row r="45" customFormat="false" ht="15" hidden="false" customHeight="false" outlineLevel="0" collapsed="false">
      <c r="A45" s="59" t="s">
        <v>393</v>
      </c>
      <c r="B45" s="60"/>
      <c r="C45" s="61" t="n">
        <f aca="false">SUM(E45:P45)</f>
        <v>863221.588575057</v>
      </c>
      <c r="D45" s="61" t="n">
        <f aca="false">SUM(Q45:AB45)</f>
        <v>1058621.24719106</v>
      </c>
      <c r="E45" s="61" t="n">
        <f aca="false">E29+E44</f>
        <v>45992.7495782345</v>
      </c>
      <c r="F45" s="61" t="n">
        <f aca="false">F29+F44</f>
        <v>56946.4872689779</v>
      </c>
      <c r="G45" s="61" t="n">
        <f aca="false">G29+G44</f>
        <v>76787.6968163968</v>
      </c>
      <c r="H45" s="61" t="n">
        <f aca="false">H29+H44</f>
        <v>90078.0712579579</v>
      </c>
      <c r="I45" s="61" t="n">
        <f aca="false">I29+I44</f>
        <v>69717.8865257659</v>
      </c>
      <c r="J45" s="61" t="n">
        <f aca="false">J29+J44</f>
        <v>14666.2617748638</v>
      </c>
      <c r="K45" s="61" t="n">
        <f aca="false">K29+K44</f>
        <v>71880.7739232819</v>
      </c>
      <c r="L45" s="61" t="n">
        <f aca="false">L29+L44</f>
        <v>52553.237091967</v>
      </c>
      <c r="M45" s="61" t="n">
        <f aca="false">M29+M44</f>
        <v>99203.2086737437</v>
      </c>
      <c r="N45" s="61" t="n">
        <f aca="false">N29+N44</f>
        <v>94200.7741358046</v>
      </c>
      <c r="O45" s="61" t="n">
        <f aca="false">O29+O44</f>
        <v>88323.3366784056</v>
      </c>
      <c r="P45" s="61" t="n">
        <f aca="false">P29+P44</f>
        <v>102871.104849657</v>
      </c>
      <c r="Q45" s="61" t="n">
        <f aca="false">Q29+Q44</f>
        <v>68305.4717562482</v>
      </c>
      <c r="R45" s="61" t="n">
        <f aca="false">R29+R44</f>
        <v>80414.2272800989</v>
      </c>
      <c r="S45" s="61" t="n">
        <f aca="false">S29+S44</f>
        <v>80675.4068542222</v>
      </c>
      <c r="T45" s="61" t="n">
        <f aca="false">T29+T44</f>
        <v>88817.3124076</v>
      </c>
      <c r="U45" s="61" t="n">
        <f aca="false">U29+U44</f>
        <v>77606.4581044598</v>
      </c>
      <c r="V45" s="61" t="n">
        <f aca="false">V29+V44</f>
        <v>99710.3890612567</v>
      </c>
      <c r="W45" s="61" t="n">
        <f aca="false">W29+W44</f>
        <v>92455.8436085304</v>
      </c>
      <c r="X45" s="61" t="n">
        <f aca="false">X29+X44</f>
        <v>72696.5536398273</v>
      </c>
      <c r="Y45" s="61" t="n">
        <f aca="false">Y29+Y44</f>
        <v>100575.314358919</v>
      </c>
      <c r="Z45" s="61" t="n">
        <f aca="false">Z29+Z44</f>
        <v>101051.577880856</v>
      </c>
      <c r="AA45" s="61" t="n">
        <f aca="false">AA29+AA44</f>
        <v>95393.1611401301</v>
      </c>
      <c r="AB45" s="61" t="n">
        <f aca="false">AB29+AB44</f>
        <v>100919.531098907</v>
      </c>
    </row>
    <row r="46" customFormat="false" ht="15" hidden="false" customHeight="false" outlineLevel="0" collapsed="false">
      <c r="A46" s="27" t="s">
        <v>394</v>
      </c>
      <c r="B46" s="63"/>
      <c r="C46" s="65" t="n">
        <f aca="false">IF(C17=0,0,C45/C17)</f>
        <v>0.114605529295807</v>
      </c>
      <c r="D46" s="65" t="n">
        <f aca="false">IF(D17=0,0,D45/D17)</f>
        <v>0.12903031057858</v>
      </c>
      <c r="E46" s="79" t="n">
        <f aca="false">IF(E17=0,0,E45/E17)</f>
        <v>0.0813328681861261</v>
      </c>
      <c r="F46" s="79" t="n">
        <f aca="false">IF(F17=0,0,F45/F17)</f>
        <v>0.0954053958069463</v>
      </c>
      <c r="G46" s="79" t="n">
        <f aca="false">IF(G17=0,0,G45/G17)</f>
        <v>0.117495371590215</v>
      </c>
      <c r="H46" s="79" t="n">
        <f aca="false">IF(H17=0,0,H45/H17)</f>
        <v>0.142206198210634</v>
      </c>
      <c r="I46" s="79" t="n">
        <f aca="false">IF(I17=0,0,I45/I17)</f>
        <v>0.110288091434878</v>
      </c>
      <c r="J46" s="79" t="n">
        <f aca="false">IF(J17=0,0,J45/J17)</f>
        <v>0.0243529291402583</v>
      </c>
      <c r="K46" s="79" t="n">
        <f aca="false">IF(K17=0,0,K45/K17)</f>
        <v>0.119323086692472</v>
      </c>
      <c r="L46" s="79" t="n">
        <f aca="false">IF(L17=0,0,L45/L17)</f>
        <v>0.10581384112269</v>
      </c>
      <c r="M46" s="79" t="n">
        <f aca="false">IF(M17=0,0,M45/M17)</f>
        <v>0.146488317900207</v>
      </c>
      <c r="N46" s="79" t="n">
        <f aca="false">IF(N17=0,0,N45/N17)</f>
        <v>0.13080341478178</v>
      </c>
      <c r="O46" s="79" t="n">
        <f aca="false">IF(O17=0,0,O45/O17)</f>
        <v>0.129349341701457</v>
      </c>
      <c r="P46" s="79" t="n">
        <f aca="false">IF(P17=0,0,P45/P17)</f>
        <v>0.153742768333424</v>
      </c>
      <c r="Q46" s="79" t="n">
        <f aca="false">IF(Q17=0,0,Q45/Q17)</f>
        <v>0.106176949544525</v>
      </c>
      <c r="R46" s="79" t="n">
        <f aca="false">IF(R17=0,0,R45/R17)</f>
        <v>0.121671404152265</v>
      </c>
      <c r="S46" s="79" t="n">
        <f aca="false">IF(S17=0,0,S45/S17)</f>
        <v>0.115849946414887</v>
      </c>
      <c r="T46" s="79" t="n">
        <f aca="false">IF(T17=0,0,T45/T17)</f>
        <v>0.131622143033172</v>
      </c>
      <c r="U46" s="79" t="n">
        <f aca="false">IF(U17=0,0,U45/U17)</f>
        <v>0.113841512371341</v>
      </c>
      <c r="V46" s="79" t="n">
        <f aca="false">IF(V17=0,0,V45/V17)</f>
        <v>0.138539935324924</v>
      </c>
      <c r="W46" s="79" t="n">
        <f aca="false">IF(W17=0,0,W45/W17)</f>
        <v>0.139424980297183</v>
      </c>
      <c r="X46" s="79" t="n">
        <f aca="false">IF(X17=0,0,X45/X17)</f>
        <v>0.129105271386668</v>
      </c>
      <c r="Y46" s="79" t="n">
        <f aca="false">IF(Y17=0,0,Y45/Y17)</f>
        <v>0.137777815753599</v>
      </c>
      <c r="Z46" s="79" t="n">
        <f aca="false">IF(Z17=0,0,Z45/Z17)</f>
        <v>0.132523684291928</v>
      </c>
      <c r="AA46" s="79" t="n">
        <f aca="false">IF(AA17=0,0,AA45/AA17)</f>
        <v>0.133384792308388</v>
      </c>
      <c r="AB46" s="79" t="n">
        <f aca="false">IF(AB17=0,0,AB45/AB17)</f>
        <v>0.145472445891176</v>
      </c>
    </row>
    <row r="47" customFormat="false" ht="15" hidden="false" customHeight="false" outlineLevel="0" collapsed="false">
      <c r="A47" s="21" t="s">
        <v>437</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row>
    <row r="48" customFormat="false" ht="15" hidden="false" customHeight="false" outlineLevel="0" collapsed="false">
      <c r="A48" s="27" t="s">
        <v>438</v>
      </c>
      <c r="B48" s="63" t="s">
        <v>77</v>
      </c>
      <c r="C48" s="66" t="n">
        <f aca="false">SUM(E48:P48)</f>
        <v>-118347.389537037</v>
      </c>
      <c r="D48" s="66" t="n">
        <f aca="false">SUM(Q48:AB48)</f>
        <v>-124310.664714753</v>
      </c>
      <c r="E48" s="67" t="n">
        <f aca="false">-Fixed_Assets!E14</f>
        <v>-9266.67</v>
      </c>
      <c r="F48" s="67" t="n">
        <f aca="false">-Fixed_Assets!F14</f>
        <v>-9316.67</v>
      </c>
      <c r="G48" s="67" t="n">
        <f aca="false">-Fixed_Assets!G14</f>
        <v>-9402.78111111111</v>
      </c>
      <c r="H48" s="67" t="n">
        <f aca="false">-Fixed_Assets!H14</f>
        <v>-9761.11444444444</v>
      </c>
      <c r="I48" s="67" t="n">
        <f aca="false">-Fixed_Assets!I14</f>
        <v>-9811.11444444444</v>
      </c>
      <c r="J48" s="67" t="n">
        <f aca="false">-Fixed_Assets!J14</f>
        <v>-9861.11444444444</v>
      </c>
      <c r="K48" s="67" t="n">
        <f aca="false">-Fixed_Assets!K14</f>
        <v>-9947.22555555556</v>
      </c>
      <c r="L48" s="67" t="n">
        <f aca="false">-Fixed_Assets!L14</f>
        <v>-10033.3366666667</v>
      </c>
      <c r="M48" s="67" t="n">
        <f aca="false">-Fixed_Assets!M14</f>
        <v>-10083.3366666667</v>
      </c>
      <c r="N48" s="67" t="n">
        <f aca="false">-Fixed_Assets!N14</f>
        <v>-10133.3366666667</v>
      </c>
      <c r="O48" s="67" t="n">
        <f aca="false">-Fixed_Assets!O14</f>
        <v>-10291.67</v>
      </c>
      <c r="P48" s="67" t="n">
        <f aca="false">-Fixed_Assets!P14</f>
        <v>-10439.019537037</v>
      </c>
      <c r="Q48" s="67" t="n">
        <f aca="false">-Fixed_Assets!Q14</f>
        <v>-10513.8749402006</v>
      </c>
      <c r="R48" s="67" t="n">
        <f aca="false">-Fixed_Assets!R14</f>
        <v>-10734.1698074283</v>
      </c>
      <c r="S48" s="67" t="n">
        <f aca="false">-Fixed_Assets!S14</f>
        <v>-10810.8541274683</v>
      </c>
      <c r="T48" s="67" t="n">
        <f aca="false">-Fixed_Assets!T14</f>
        <v>-10923.6280936264</v>
      </c>
      <c r="U48" s="67" t="n">
        <f aca="false">-Fixed_Assets!U14</f>
        <v>-11037.9874910955</v>
      </c>
      <c r="V48" s="67" t="n">
        <f aca="false">-Fixed_Assets!V14</f>
        <v>-11116.2181588511</v>
      </c>
      <c r="W48" s="67" t="n">
        <f aca="false">-Fixed_Assets!W14</f>
        <v>-11230.9635661229</v>
      </c>
      <c r="X48" s="67" t="n">
        <f aca="false">-Fixed_Assets!X14</f>
        <v>-11310.0146478252</v>
      </c>
      <c r="Y48" s="67" t="n">
        <f aca="false">-Fixed_Assets!Y14</f>
        <v>-11289.0561544072</v>
      </c>
      <c r="Z48" s="67" t="n">
        <f aca="false">-Fixed_Assets!Z14</f>
        <v>-8368.51420653046</v>
      </c>
      <c r="AA48" s="67" t="n">
        <f aca="false">-Fixed_Assets!AA14</f>
        <v>-8447.9675106773</v>
      </c>
      <c r="AB48" s="67" t="n">
        <f aca="false">-Fixed_Assets!AB14</f>
        <v>-8527.41601051979</v>
      </c>
    </row>
    <row r="49" customFormat="false" ht="15" hidden="false" customHeight="false" outlineLevel="0" collapsed="false">
      <c r="A49" s="59" t="s">
        <v>439</v>
      </c>
      <c r="B49" s="60"/>
      <c r="C49" s="61" t="n">
        <f aca="false">SUM(E49:P49)</f>
        <v>744874.199038019</v>
      </c>
      <c r="D49" s="61" t="n">
        <f aca="false">SUM(Q49:AB49)</f>
        <v>934310.582476302</v>
      </c>
      <c r="E49" s="61" t="n">
        <f aca="false">E45+E48</f>
        <v>36726.0795782345</v>
      </c>
      <c r="F49" s="61" t="n">
        <f aca="false">F45+F48</f>
        <v>47629.8172689779</v>
      </c>
      <c r="G49" s="61" t="n">
        <f aca="false">G45+G48</f>
        <v>67384.9157052857</v>
      </c>
      <c r="H49" s="61" t="n">
        <f aca="false">H45+H48</f>
        <v>80316.9568135135</v>
      </c>
      <c r="I49" s="61" t="n">
        <f aca="false">I45+I48</f>
        <v>59906.7720813215</v>
      </c>
      <c r="J49" s="61" t="n">
        <f aca="false">J45+J48</f>
        <v>4805.14733041937</v>
      </c>
      <c r="K49" s="61" t="n">
        <f aca="false">K45+K48</f>
        <v>61933.5483677264</v>
      </c>
      <c r="L49" s="61" t="n">
        <f aca="false">L45+L48</f>
        <v>42519.9004253003</v>
      </c>
      <c r="M49" s="61" t="n">
        <f aca="false">M45+M48</f>
        <v>89119.872007077</v>
      </c>
      <c r="N49" s="61" t="n">
        <f aca="false">N45+N48</f>
        <v>84067.4374691379</v>
      </c>
      <c r="O49" s="61" t="n">
        <f aca="false">O45+O48</f>
        <v>78031.6666784056</v>
      </c>
      <c r="P49" s="61" t="n">
        <f aca="false">P45+P48</f>
        <v>92432.0853126199</v>
      </c>
      <c r="Q49" s="61" t="n">
        <f aca="false">Q45+Q48</f>
        <v>57791.5968160476</v>
      </c>
      <c r="R49" s="61" t="n">
        <f aca="false">R45+R48</f>
        <v>69680.0574726706</v>
      </c>
      <c r="S49" s="61" t="n">
        <f aca="false">S45+S48</f>
        <v>69864.5527267539</v>
      </c>
      <c r="T49" s="61" t="n">
        <f aca="false">T45+T48</f>
        <v>77893.6843139736</v>
      </c>
      <c r="U49" s="61" t="n">
        <f aca="false">U45+U48</f>
        <v>66568.4706133644</v>
      </c>
      <c r="V49" s="61" t="n">
        <f aca="false">V45+V48</f>
        <v>88594.1709024056</v>
      </c>
      <c r="W49" s="61" t="n">
        <f aca="false">W45+W48</f>
        <v>81224.8800424075</v>
      </c>
      <c r="X49" s="61" t="n">
        <f aca="false">X45+X48</f>
        <v>61386.5389920021</v>
      </c>
      <c r="Y49" s="61" t="n">
        <f aca="false">Y45+Y48</f>
        <v>89286.2582045116</v>
      </c>
      <c r="Z49" s="61" t="n">
        <f aca="false">Z45+Z48</f>
        <v>92683.0636743257</v>
      </c>
      <c r="AA49" s="61" t="n">
        <f aca="false">AA45+AA48</f>
        <v>86945.1936294528</v>
      </c>
      <c r="AB49" s="61" t="n">
        <f aca="false">AB45+AB48</f>
        <v>92392.1150883873</v>
      </c>
    </row>
    <row r="50" customFormat="false" ht="15" hidden="false" customHeight="false" outlineLevel="0" collapsed="false">
      <c r="A50" s="27" t="s">
        <v>440</v>
      </c>
      <c r="B50" s="63" t="s">
        <v>79</v>
      </c>
      <c r="C50" s="66" t="n">
        <f aca="false">SUM(E50:P50)</f>
        <v>-53303.1394166667</v>
      </c>
      <c r="D50" s="66" t="n">
        <f aca="false">SUM(Q50:AB50)</f>
        <v>-35833.33625</v>
      </c>
      <c r="E50" s="67" t="n">
        <f aca="false">-Financing!E11</f>
        <v>-4752.58</v>
      </c>
      <c r="F50" s="67" t="n">
        <f aca="false">-Financing!F11</f>
        <v>-4640.22</v>
      </c>
      <c r="G50" s="67" t="n">
        <f aca="false">-Financing!G11</f>
        <v>-4699</v>
      </c>
      <c r="H50" s="67" t="n">
        <f aca="false">-Financing!H11</f>
        <v>-4704</v>
      </c>
      <c r="I50" s="67" t="n">
        <f aca="false">-Financing!I11</f>
        <v>-4652.08</v>
      </c>
      <c r="J50" s="67" t="n">
        <f aca="false">-Financing!J11</f>
        <v>-4578.67</v>
      </c>
      <c r="K50" s="67" t="n">
        <f aca="false">-Financing!K11</f>
        <v>-4477.92</v>
      </c>
      <c r="L50" s="67" t="n">
        <f aca="false">-Financing!L11</f>
        <v>-4409.78</v>
      </c>
      <c r="M50" s="67" t="n">
        <f aca="false">-Financing!M11</f>
        <v>-4305.55566666666</v>
      </c>
      <c r="N50" s="67" t="n">
        <f aca="false">-Financing!N11</f>
        <v>-4166.66679166667</v>
      </c>
      <c r="O50" s="67" t="n">
        <f aca="false">-Financing!O11</f>
        <v>-4027.77791666667</v>
      </c>
      <c r="P50" s="67" t="n">
        <f aca="false">-Financing!P11</f>
        <v>-3888.88904166667</v>
      </c>
      <c r="Q50" s="67" t="n">
        <f aca="false">-Financing!Q11</f>
        <v>-3750.00016666667</v>
      </c>
      <c r="R50" s="67" t="n">
        <f aca="false">-Financing!R11</f>
        <v>-3611.11129166667</v>
      </c>
      <c r="S50" s="67" t="n">
        <f aca="false">-Financing!S11</f>
        <v>-3472.22241666667</v>
      </c>
      <c r="T50" s="67" t="n">
        <f aca="false">-Financing!T11</f>
        <v>-3333.33354166667</v>
      </c>
      <c r="U50" s="67" t="n">
        <f aca="false">-Financing!U11</f>
        <v>-3194.44466666667</v>
      </c>
      <c r="V50" s="67" t="n">
        <f aca="false">-Financing!V11</f>
        <v>-3055.55579166667</v>
      </c>
      <c r="W50" s="67" t="n">
        <f aca="false">-Financing!W11</f>
        <v>-2916.66691666667</v>
      </c>
      <c r="X50" s="67" t="n">
        <f aca="false">-Financing!X11</f>
        <v>-2777.77804166667</v>
      </c>
      <c r="Y50" s="67" t="n">
        <f aca="false">-Financing!Y11</f>
        <v>-2638.88916666667</v>
      </c>
      <c r="Z50" s="67" t="n">
        <f aca="false">-Financing!Z11</f>
        <v>-2500.00029166667</v>
      </c>
      <c r="AA50" s="67" t="n">
        <f aca="false">-Financing!AA11</f>
        <v>-2361.11141666667</v>
      </c>
      <c r="AB50" s="67" t="n">
        <f aca="false">-Financing!AB11</f>
        <v>-2222.22254166667</v>
      </c>
    </row>
    <row r="51" customFormat="false" ht="15" hidden="false" customHeight="false" outlineLevel="0" collapsed="false">
      <c r="A51" s="27" t="s">
        <v>441</v>
      </c>
      <c r="B51" s="63" t="s">
        <v>69</v>
      </c>
      <c r="C51" s="66" t="n">
        <f aca="false">SUM(E51:P51)</f>
        <v>-426.520237108129</v>
      </c>
      <c r="D51" s="66" t="n">
        <f aca="false">SUM(Q51:AB51)</f>
        <v>0</v>
      </c>
      <c r="E51" s="67" t="n">
        <f aca="false">Payables!E20</f>
        <v>-9.90000000000146</v>
      </c>
      <c r="F51" s="67" t="n">
        <f aca="false">Payables!F20</f>
        <v>144.355171765514</v>
      </c>
      <c r="G51" s="67" t="n">
        <f aca="false">Payables!G20</f>
        <v>-294.894893977948</v>
      </c>
      <c r="H51" s="67" t="n">
        <f aca="false">Payables!H20</f>
        <v>-115.510816396836</v>
      </c>
      <c r="I51" s="67" t="n">
        <f aca="false">Payables!I20</f>
        <v>-99.5371329579939</v>
      </c>
      <c r="J51" s="67" t="n">
        <f aca="false">Payables!J20</f>
        <v>145.840724233978</v>
      </c>
      <c r="K51" s="67" t="n">
        <f aca="false">Payables!K20</f>
        <v>91.6867251360891</v>
      </c>
      <c r="L51" s="67" t="n">
        <f aca="false">Payables!L20</f>
        <v>48.324076717985</v>
      </c>
      <c r="M51" s="67" t="n">
        <f aca="false">Payables!M20</f>
        <v>-336.884091628916</v>
      </c>
      <c r="N51" s="67" t="n">
        <f aca="false">Payables!N20</f>
        <v>0</v>
      </c>
      <c r="O51" s="67" t="n">
        <f aca="false">Payables!O20</f>
        <v>0</v>
      </c>
      <c r="P51" s="67" t="n">
        <f aca="false">Payables!P20</f>
        <v>0</v>
      </c>
      <c r="Q51" s="67" t="n">
        <f aca="false">Payables!Q20</f>
        <v>0</v>
      </c>
      <c r="R51" s="67" t="n">
        <f aca="false">Payables!R20</f>
        <v>0</v>
      </c>
      <c r="S51" s="67" t="n">
        <f aca="false">Payables!S20</f>
        <v>0</v>
      </c>
      <c r="T51" s="67" t="n">
        <f aca="false">Payables!T20</f>
        <v>0</v>
      </c>
      <c r="U51" s="67" t="n">
        <f aca="false">Payables!U20</f>
        <v>0</v>
      </c>
      <c r="V51" s="67" t="n">
        <f aca="false">Payables!V20</f>
        <v>0</v>
      </c>
      <c r="W51" s="67" t="n">
        <f aca="false">Payables!W20</f>
        <v>0</v>
      </c>
      <c r="X51" s="67" t="n">
        <f aca="false">Payables!X20</f>
        <v>0</v>
      </c>
      <c r="Y51" s="67" t="n">
        <f aca="false">Payables!Y20</f>
        <v>0</v>
      </c>
      <c r="Z51" s="67" t="n">
        <f aca="false">Payables!Z20</f>
        <v>0</v>
      </c>
      <c r="AA51" s="67" t="n">
        <f aca="false">Payables!AA20</f>
        <v>0</v>
      </c>
      <c r="AB51" s="67" t="n">
        <f aca="false">Payables!AB20</f>
        <v>0</v>
      </c>
    </row>
    <row r="52" customFormat="false" ht="15" hidden="false" customHeight="false" outlineLevel="0" collapsed="false">
      <c r="A52" s="59" t="s">
        <v>442</v>
      </c>
      <c r="B52" s="60"/>
      <c r="C52" s="61" t="n">
        <f aca="false">SUM(E52:P52)</f>
        <v>691144.539384245</v>
      </c>
      <c r="D52" s="61" t="n">
        <f aca="false">SUM(Q52:AB52)</f>
        <v>898477.246226302</v>
      </c>
      <c r="E52" s="61" t="n">
        <f aca="false">E49+E50+E51</f>
        <v>31963.5995782345</v>
      </c>
      <c r="F52" s="61" t="n">
        <f aca="false">F49+F50+F51</f>
        <v>43133.9524407434</v>
      </c>
      <c r="G52" s="61" t="n">
        <f aca="false">G49+G50+G51</f>
        <v>62391.0208113078</v>
      </c>
      <c r="H52" s="61" t="n">
        <f aca="false">H49+H50+H51</f>
        <v>75497.4459971166</v>
      </c>
      <c r="I52" s="61" t="n">
        <f aca="false">I49+I50+I51</f>
        <v>55155.1549483635</v>
      </c>
      <c r="J52" s="61" t="n">
        <f aca="false">J49+J50+J51</f>
        <v>372.318054653349</v>
      </c>
      <c r="K52" s="61" t="n">
        <f aca="false">K49+K50+K51</f>
        <v>57547.3150928625</v>
      </c>
      <c r="L52" s="61" t="n">
        <f aca="false">L49+L50+L51</f>
        <v>38158.4445020183</v>
      </c>
      <c r="M52" s="61" t="n">
        <f aca="false">M49+M50+M51</f>
        <v>84477.4322487814</v>
      </c>
      <c r="N52" s="61" t="n">
        <f aca="false">N49+N50+N51</f>
        <v>79900.7706774713</v>
      </c>
      <c r="O52" s="61" t="n">
        <f aca="false">O49+O50+O51</f>
        <v>74003.8887617389</v>
      </c>
      <c r="P52" s="61" t="n">
        <f aca="false">P49+P50+P51</f>
        <v>88543.1962709532</v>
      </c>
      <c r="Q52" s="61" t="n">
        <f aca="false">Q49+Q50+Q51</f>
        <v>54041.5966493809</v>
      </c>
      <c r="R52" s="61" t="n">
        <f aca="false">R49+R50+R51</f>
        <v>66068.9461810039</v>
      </c>
      <c r="S52" s="61" t="n">
        <f aca="false">S49+S50+S51</f>
        <v>66392.3303100872</v>
      </c>
      <c r="T52" s="61" t="n">
        <f aca="false">T49+T50+T51</f>
        <v>74560.3507723069</v>
      </c>
      <c r="U52" s="61" t="n">
        <f aca="false">U49+U50+U51</f>
        <v>63374.0259466977</v>
      </c>
      <c r="V52" s="61" t="n">
        <f aca="false">V49+V50+V51</f>
        <v>85538.6151107389</v>
      </c>
      <c r="W52" s="61" t="n">
        <f aca="false">W49+W50+W51</f>
        <v>78308.2131257408</v>
      </c>
      <c r="X52" s="61" t="n">
        <f aca="false">X49+X50+X51</f>
        <v>58608.7609503354</v>
      </c>
      <c r="Y52" s="61" t="n">
        <f aca="false">Y49+Y50+Y51</f>
        <v>86647.3690378449</v>
      </c>
      <c r="Z52" s="61" t="n">
        <f aca="false">Z49+Z50+Z51</f>
        <v>90183.063382659</v>
      </c>
      <c r="AA52" s="61" t="n">
        <f aca="false">AA49+AA50+AA51</f>
        <v>84584.0822127861</v>
      </c>
      <c r="AB52" s="61" t="n">
        <f aca="false">AB49+AB50+AB51</f>
        <v>90169.8925467206</v>
      </c>
    </row>
    <row r="53" customFormat="false" ht="15" hidden="false" customHeight="false" outlineLevel="0" collapsed="false">
      <c r="A53" s="27" t="s">
        <v>443</v>
      </c>
      <c r="B53" s="63" t="s">
        <v>73</v>
      </c>
      <c r="C53" s="66" t="n">
        <f aca="false">SUM(E53:P53)</f>
        <v>-139684.63057377</v>
      </c>
      <c r="D53" s="66" t="n">
        <f aca="false">SUM(Q53:AB53)</f>
        <v>-173703.063014129</v>
      </c>
      <c r="E53" s="67" t="n">
        <f aca="false">-Tax!E14</f>
        <v>-5273.99393040869</v>
      </c>
      <c r="F53" s="67" t="n">
        <f aca="false">-Tax!F14</f>
        <v>-8121.00423348179</v>
      </c>
      <c r="G53" s="67" t="n">
        <f aca="false">-Tax!G14</f>
        <v>-12790.1592663181</v>
      </c>
      <c r="H53" s="67" t="n">
        <f aca="false">-Tax!H14</f>
        <v>-15476.9764294089</v>
      </c>
      <c r="I53" s="67" t="n">
        <f aca="false">-Tax!I14</f>
        <v>-11306.8067644145</v>
      </c>
      <c r="J53" s="67" t="n">
        <f aca="false">-Tax!J14</f>
        <v>-76.3252012039375</v>
      </c>
      <c r="K53" s="67" t="n">
        <f aca="false">-Tax!K14</f>
        <v>-11797.1995940368</v>
      </c>
      <c r="L53" s="67" t="n">
        <f aca="false">-Tax!L14</f>
        <v>-7822.48112291375</v>
      </c>
      <c r="M53" s="67" t="n">
        <f aca="false">-Tax!M14</f>
        <v>-17317.8736110002</v>
      </c>
      <c r="N53" s="67" t="n">
        <f aca="false">-Tax!N14</f>
        <v>-16379.6579888816</v>
      </c>
      <c r="O53" s="67" t="n">
        <f aca="false">-Tax!O14</f>
        <v>-15170.7971961565</v>
      </c>
      <c r="P53" s="67" t="n">
        <f aca="false">-Tax!P14</f>
        <v>-18151.3552355454</v>
      </c>
      <c r="Q53" s="67" t="n">
        <f aca="false">-Tax!Q14</f>
        <v>-9038.11134662928</v>
      </c>
      <c r="R53" s="67" t="n">
        <f aca="false">-Tax!R14</f>
        <v>-12883.4445052958</v>
      </c>
      <c r="S53" s="67" t="n">
        <f aca="false">-Tax!S14</f>
        <v>-12946.504410467</v>
      </c>
      <c r="T53" s="67" t="n">
        <f aca="false">-Tax!T14</f>
        <v>-14539.2684005999</v>
      </c>
      <c r="U53" s="67" t="n">
        <f aca="false">-Tax!U14</f>
        <v>-12357.9350596061</v>
      </c>
      <c r="V53" s="67" t="n">
        <f aca="false">-Tax!V14</f>
        <v>-16680.0299465941</v>
      </c>
      <c r="W53" s="67" t="n">
        <f aca="false">-Tax!W14</f>
        <v>-15270.1015595194</v>
      </c>
      <c r="X53" s="67" t="n">
        <f aca="false">-Tax!X14</f>
        <v>-11428.7083853154</v>
      </c>
      <c r="Y53" s="67" t="n">
        <f aca="false">-Tax!Y14</f>
        <v>-16896.2369623798</v>
      </c>
      <c r="Z53" s="67" t="n">
        <f aca="false">-Tax!Z14</f>
        <v>-17585.6973596185</v>
      </c>
      <c r="AA53" s="67" t="n">
        <f aca="false">-Tax!AA14</f>
        <v>-16493.8960314933</v>
      </c>
      <c r="AB53" s="67" t="n">
        <f aca="false">-Tax!AB14</f>
        <v>-17583.1290466105</v>
      </c>
    </row>
    <row r="54" customFormat="false" ht="15" hidden="false" customHeight="false" outlineLevel="0" collapsed="false">
      <c r="A54" s="59" t="s">
        <v>444</v>
      </c>
      <c r="B54" s="60"/>
      <c r="C54" s="61" t="n">
        <f aca="false">SUM(E54:P54)</f>
        <v>551459.908810474</v>
      </c>
      <c r="D54" s="61" t="n">
        <f aca="false">SUM(Q54:AB54)</f>
        <v>724774.183212173</v>
      </c>
      <c r="E54" s="61" t="n">
        <f aca="false">E52+E53</f>
        <v>26689.6056478258</v>
      </c>
      <c r="F54" s="61" t="n">
        <f aca="false">F52+F53</f>
        <v>35012.9482072617</v>
      </c>
      <c r="G54" s="61" t="n">
        <f aca="false">G52+G53</f>
        <v>49600.8615449897</v>
      </c>
      <c r="H54" s="61" t="n">
        <f aca="false">H52+H53</f>
        <v>60020.4695677077</v>
      </c>
      <c r="I54" s="61" t="n">
        <f aca="false">I52+I53</f>
        <v>43848.3481839489</v>
      </c>
      <c r="J54" s="61" t="n">
        <f aca="false">J52+J53</f>
        <v>295.992853449412</v>
      </c>
      <c r="K54" s="61" t="n">
        <f aca="false">K52+K53</f>
        <v>45750.1154988257</v>
      </c>
      <c r="L54" s="61" t="n">
        <f aca="false">L52+L53</f>
        <v>30335.9633791045</v>
      </c>
      <c r="M54" s="61" t="n">
        <f aca="false">M52+M53</f>
        <v>67159.5586377812</v>
      </c>
      <c r="N54" s="61" t="n">
        <f aca="false">N52+N53</f>
        <v>63521.1126885897</v>
      </c>
      <c r="O54" s="61" t="n">
        <f aca="false">O52+O53</f>
        <v>58833.0915655824</v>
      </c>
      <c r="P54" s="61" t="n">
        <f aca="false">P52+P53</f>
        <v>70391.8410354078</v>
      </c>
      <c r="Q54" s="61" t="n">
        <f aca="false">Q52+Q53</f>
        <v>45003.4853027516</v>
      </c>
      <c r="R54" s="61" t="n">
        <f aca="false">R52+R53</f>
        <v>53185.5016757082</v>
      </c>
      <c r="S54" s="61" t="n">
        <f aca="false">S52+S53</f>
        <v>53445.8258996202</v>
      </c>
      <c r="T54" s="61" t="n">
        <f aca="false">T52+T53</f>
        <v>60021.0823717071</v>
      </c>
      <c r="U54" s="61" t="n">
        <f aca="false">U52+U53</f>
        <v>51016.0908870916</v>
      </c>
      <c r="V54" s="61" t="n">
        <f aca="false">V52+V53</f>
        <v>68858.5851641448</v>
      </c>
      <c r="W54" s="61" t="n">
        <f aca="false">W52+W53</f>
        <v>63038.1115662214</v>
      </c>
      <c r="X54" s="61" t="n">
        <f aca="false">X52+X53</f>
        <v>47180.05256502</v>
      </c>
      <c r="Y54" s="61" t="n">
        <f aca="false">Y52+Y53</f>
        <v>69751.1320754651</v>
      </c>
      <c r="Z54" s="61" t="n">
        <f aca="false">Z52+Z53</f>
        <v>72597.3660230405</v>
      </c>
      <c r="AA54" s="61" t="n">
        <f aca="false">AA52+AA53</f>
        <v>68090.1861812928</v>
      </c>
      <c r="AB54" s="61" t="n">
        <f aca="false">AB52+AB53</f>
        <v>72586.7635001101</v>
      </c>
    </row>
    <row r="55" customFormat="false" ht="15" hidden="false" customHeight="false" outlineLevel="0" collapsed="false">
      <c r="A55" s="27" t="s">
        <v>445</v>
      </c>
      <c r="B55" s="63"/>
      <c r="C55" s="65" t="n">
        <f aca="false">IF(C17=0,0,C54/C17)</f>
        <v>0.0732145205485051</v>
      </c>
      <c r="D55" s="65" t="n">
        <f aca="false">IF(D17=0,0,D54/D17)</f>
        <v>0.0883392792345172</v>
      </c>
      <c r="E55" s="79" t="n">
        <f aca="false">IF(E17=0,0,E54/E17)</f>
        <v>0.0471974865169092</v>
      </c>
      <c r="F55" s="79" t="n">
        <f aca="false">IF(F17=0,0,F54/F17)</f>
        <v>0.0586590032551777</v>
      </c>
      <c r="G55" s="79" t="n">
        <f aca="false">IF(G17=0,0,G54/G17)</f>
        <v>0.0758959039018722</v>
      </c>
      <c r="H55" s="79" t="n">
        <f aca="false">IF(H17=0,0,H54/H17)</f>
        <v>0.0947542800688764</v>
      </c>
      <c r="I55" s="79" t="n">
        <f aca="false">IF(I17=0,0,I54/I17)</f>
        <v>0.0693645615891195</v>
      </c>
      <c r="J55" s="79" t="n">
        <f aca="false">IF(J17=0,0,J54/J17)</f>
        <v>0.000491488089925583</v>
      </c>
      <c r="K55" s="79" t="n">
        <f aca="false">IF(K17=0,0,K54/K17)</f>
        <v>0.0759458294603698</v>
      </c>
      <c r="L55" s="79" t="n">
        <f aca="false">IF(L17=0,0,L54/L17)</f>
        <v>0.0610802490374276</v>
      </c>
      <c r="M55" s="79" t="n">
        <f aca="false">IF(M17=0,0,M54/M17)</f>
        <v>0.0991710944363106</v>
      </c>
      <c r="N55" s="79" t="n">
        <f aca="false">IF(N17=0,0,N54/N17)</f>
        <v>0.0882028680404199</v>
      </c>
      <c r="O55" s="79" t="n">
        <f aca="false">IF(O17=0,0,O54/O17)</f>
        <v>0.0861609394579208</v>
      </c>
      <c r="P55" s="79" t="n">
        <f aca="false">IF(P17=0,0,P54/P17)</f>
        <v>0.105201908006007</v>
      </c>
      <c r="Q55" s="79" t="n">
        <f aca="false">IF(Q17=0,0,Q54/Q17)</f>
        <v>0.0699553442126829</v>
      </c>
      <c r="R55" s="79" t="n">
        <f aca="false">IF(R17=0,0,R54/R17)</f>
        <v>0.0804727582208276</v>
      </c>
      <c r="S55" s="79" t="n">
        <f aca="false">IF(S17=0,0,S54/S17)</f>
        <v>0.0767482471796961</v>
      </c>
      <c r="T55" s="79" t="n">
        <f aca="false">IF(T17=0,0,T54/T17)</f>
        <v>0.0889477881595821</v>
      </c>
      <c r="U55" s="79" t="n">
        <f aca="false">IF(U17=0,0,U54/U17)</f>
        <v>0.0748358974718696</v>
      </c>
      <c r="V55" s="79" t="n">
        <f aca="false">IF(V17=0,0,V54/V17)</f>
        <v>0.0956737209133316</v>
      </c>
      <c r="W55" s="79" t="n">
        <f aca="false">IF(W17=0,0,W54/W17)</f>
        <v>0.0950625414257874</v>
      </c>
      <c r="X55" s="79" t="n">
        <f aca="false">IF(X17=0,0,X54/X17)</f>
        <v>0.0837893020434336</v>
      </c>
      <c r="Y55" s="79" t="n">
        <f aca="false">IF(Y17=0,0,Y54/Y17)</f>
        <v>0.0955518626509389</v>
      </c>
      <c r="Z55" s="79" t="n">
        <f aca="false">IF(Z17=0,0,Z54/Z17)</f>
        <v>0.0952075229008928</v>
      </c>
      <c r="AA55" s="79" t="n">
        <f aca="false">IF(AA17=0,0,AA54/AA17)</f>
        <v>0.0952080341345405</v>
      </c>
      <c r="AB55" s="79" t="n">
        <f aca="false">IF(AB17=0,0,AB54/AB17)</f>
        <v>0.104631619971922</v>
      </c>
    </row>
    <row r="56" customFormat="false" ht="15" hidden="false" customHeight="false" outlineLevel="0" collapsed="false">
      <c r="A56" s="21" t="s">
        <v>446</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row>
    <row r="57" customFormat="false" ht="15" hidden="false" customHeight="false" outlineLevel="0" collapsed="false">
      <c r="A57" s="27" t="s">
        <v>447</v>
      </c>
      <c r="B57" s="63"/>
      <c r="C57" s="66" t="n">
        <f aca="false">SUM(E57:P57)</f>
        <v>3586930.42001095</v>
      </c>
      <c r="D57" s="66" t="n">
        <f aca="false">SUM(Q57:AB57)</f>
        <v>4118151.83545219</v>
      </c>
      <c r="E57" s="76" t="n">
        <f aca="false">E9+E10+E11+E12</f>
        <v>288374.83</v>
      </c>
      <c r="F57" s="76" t="n">
        <f aca="false">F9+F10+F11+F12</f>
        <v>289887.79</v>
      </c>
      <c r="G57" s="76" t="n">
        <f aca="false">G9+G10+G11+G12</f>
        <v>294708.93</v>
      </c>
      <c r="H57" s="76" t="n">
        <f aca="false">H9+H10+H11+H12</f>
        <v>294421.49</v>
      </c>
      <c r="I57" s="76" t="n">
        <f aca="false">I9+I10+I11+I12</f>
        <v>289342.7</v>
      </c>
      <c r="J57" s="76" t="n">
        <f aca="false">J9+J10+J11+J12</f>
        <v>291699.94</v>
      </c>
      <c r="K57" s="76" t="n">
        <f aca="false">K9+K10+K11+K12</f>
        <v>293395.62</v>
      </c>
      <c r="L57" s="76" t="n">
        <f aca="false">L9+L10+L11+L12</f>
        <v>297373.49</v>
      </c>
      <c r="M57" s="76" t="n">
        <f aca="false">M9+M10+M11+M12</f>
        <v>298832.270614231</v>
      </c>
      <c r="N57" s="76" t="n">
        <f aca="false">N9+N10+N11+N12</f>
        <v>306059.880923472</v>
      </c>
      <c r="O57" s="76" t="n">
        <f aca="false">O9+O10+O11+O12</f>
        <v>317110.556498918</v>
      </c>
      <c r="P57" s="76" t="n">
        <f aca="false">P9+P10+P11+P12</f>
        <v>325722.92197433</v>
      </c>
      <c r="Q57" s="76" t="n">
        <f aca="false">Q9+Q10+Q11+Q12</f>
        <v>332958.009871133</v>
      </c>
      <c r="R57" s="76" t="n">
        <f aca="false">R9+R10+R11+R12</f>
        <v>338105.18183143</v>
      </c>
      <c r="S57" s="76" t="n">
        <f aca="false">S9+S10+S11+S12</f>
        <v>338550.017630416</v>
      </c>
      <c r="T57" s="76" t="n">
        <f aca="false">T9+T10+T11+T12</f>
        <v>342524.319811631</v>
      </c>
      <c r="U57" s="76" t="n">
        <f aca="false">U9+U10+U11+U12</f>
        <v>343265.936377345</v>
      </c>
      <c r="V57" s="76" t="n">
        <f aca="false">V9+V10+V11+V12</f>
        <v>344080.258999911</v>
      </c>
      <c r="W57" s="76" t="n">
        <f aca="false">W9+W10+W11+W12</f>
        <v>345149.277210377</v>
      </c>
      <c r="X57" s="76" t="n">
        <f aca="false">X9+X10+X11+X12</f>
        <v>343608.200382447</v>
      </c>
      <c r="Y57" s="76" t="n">
        <f aca="false">Y9+Y10+Y11+Y12</f>
        <v>345818.705458039</v>
      </c>
      <c r="Z57" s="76" t="n">
        <f aca="false">Z9+Z10+Z11+Z12</f>
        <v>347036.129478524</v>
      </c>
      <c r="AA57" s="76" t="n">
        <f aca="false">AA9+AA10+AA11+AA12</f>
        <v>348083.503714318</v>
      </c>
      <c r="AB57" s="76" t="n">
        <f aca="false">AB9+AB10+AB11+AB12</f>
        <v>348972.294686619</v>
      </c>
    </row>
    <row r="58" customFormat="false" ht="15" hidden="false" customHeight="false" outlineLevel="0" collapsed="false">
      <c r="A58" s="27" t="s">
        <v>448</v>
      </c>
      <c r="B58" s="63"/>
      <c r="C58" s="66" t="n">
        <f aca="false">SUM(E58:P58)</f>
        <v>508805.79875</v>
      </c>
      <c r="D58" s="66" t="n">
        <f aca="false">SUM(Q58:AB58)</f>
        <v>522486.66</v>
      </c>
      <c r="E58" s="76" t="n">
        <f aca="false">E13+E14</f>
        <v>40560.95</v>
      </c>
      <c r="F58" s="76" t="n">
        <f aca="false">F13+F14</f>
        <v>41360.3666666667</v>
      </c>
      <c r="G58" s="76" t="n">
        <f aca="false">G13+G14</f>
        <v>43158.9666666667</v>
      </c>
      <c r="H58" s="76" t="n">
        <f aca="false">H13+H14</f>
        <v>41960.0166666667</v>
      </c>
      <c r="I58" s="76" t="n">
        <f aca="false">I13+I14</f>
        <v>42151.5666666667</v>
      </c>
      <c r="J58" s="76" t="n">
        <f aca="false">J13+J14</f>
        <v>42684.55</v>
      </c>
      <c r="K58" s="76" t="n">
        <f aca="false">K13+K14</f>
        <v>41885.25</v>
      </c>
      <c r="L58" s="76" t="n">
        <f aca="false">L13+L14</f>
        <v>39512.2333333333</v>
      </c>
      <c r="M58" s="76" t="n">
        <f aca="false">M13+M14</f>
        <v>42854.9470166667</v>
      </c>
      <c r="N58" s="76" t="n">
        <f aca="false">N13+N14</f>
        <v>43470.7223666667</v>
      </c>
      <c r="O58" s="76" t="n">
        <f aca="false">O13+O14</f>
        <v>44157.3227666667</v>
      </c>
      <c r="P58" s="76" t="n">
        <f aca="false">P13+P14</f>
        <v>45048.9066</v>
      </c>
      <c r="Q58" s="76" t="n">
        <f aca="false">Q13+Q14</f>
        <v>41819.3207666667</v>
      </c>
      <c r="R58" s="76" t="n">
        <f aca="false">R13+R14</f>
        <v>42347.9377333333</v>
      </c>
      <c r="S58" s="76" t="n">
        <f aca="false">S13+S14</f>
        <v>44028.4387333333</v>
      </c>
      <c r="T58" s="76" t="n">
        <f aca="false">T13+T14</f>
        <v>42865.72965</v>
      </c>
      <c r="U58" s="76" t="n">
        <f aca="false">U13+U14</f>
        <v>43140.2048</v>
      </c>
      <c r="V58" s="76" t="n">
        <f aca="false">V13+V14</f>
        <v>43682.8217666667</v>
      </c>
      <c r="W58" s="76" t="n">
        <f aca="false">W13+W14</f>
        <v>42913.2379333333</v>
      </c>
      <c r="X58" s="76" t="n">
        <f aca="false">X13+X14</f>
        <v>40671.4698666667</v>
      </c>
      <c r="Y58" s="76" t="n">
        <f aca="false">Y13+Y14</f>
        <v>44223.2136833333</v>
      </c>
      <c r="Z58" s="76" t="n">
        <f aca="false">Z13+Z14</f>
        <v>44840.9890333333</v>
      </c>
      <c r="AA58" s="76" t="n">
        <f aca="false">AA13+AA14</f>
        <v>45529.1894333333</v>
      </c>
      <c r="AB58" s="76" t="n">
        <f aca="false">AB13+AB14</f>
        <v>46424.1066</v>
      </c>
    </row>
    <row r="59" customFormat="false" ht="15" hidden="false" customHeight="false" outlineLevel="0" collapsed="false">
      <c r="A59" s="27" t="s">
        <v>449</v>
      </c>
      <c r="B59" s="63"/>
      <c r="C59" s="66" t="n">
        <f aca="false">SUM(E59:P59)</f>
        <v>2513080</v>
      </c>
      <c r="D59" s="66" t="n">
        <f aca="false">SUM(Q59:AB59)</f>
        <v>2485600</v>
      </c>
      <c r="E59" s="76" t="n">
        <f aca="false">E15</f>
        <v>186000</v>
      </c>
      <c r="F59" s="76" t="n">
        <f aca="false">F15</f>
        <v>197000</v>
      </c>
      <c r="G59" s="76" t="n">
        <f aca="false">G15</f>
        <v>224000</v>
      </c>
      <c r="H59" s="76" t="n">
        <f aca="false">H15</f>
        <v>201000</v>
      </c>
      <c r="I59" s="76" t="n">
        <f aca="false">I15</f>
        <v>212000</v>
      </c>
      <c r="J59" s="76" t="n">
        <f aca="false">J15</f>
        <v>238000</v>
      </c>
      <c r="K59" s="76" t="n">
        <f aca="false">K15</f>
        <v>196000</v>
      </c>
      <c r="L59" s="76" t="n">
        <f aca="false">L15</f>
        <v>121000</v>
      </c>
      <c r="M59" s="76" t="n">
        <f aca="false">M15</f>
        <v>245440</v>
      </c>
      <c r="N59" s="76" t="n">
        <f aca="false">N15</f>
        <v>266240</v>
      </c>
      <c r="O59" s="76" t="n">
        <f aca="false">O15</f>
        <v>222560</v>
      </c>
      <c r="P59" s="76" t="n">
        <f aca="false">P15</f>
        <v>203840</v>
      </c>
      <c r="Q59" s="76" t="n">
        <f aca="false">Q15</f>
        <v>183040</v>
      </c>
      <c r="R59" s="76" t="n">
        <f aca="false">R15</f>
        <v>191360</v>
      </c>
      <c r="S59" s="76" t="n">
        <f aca="false">S15</f>
        <v>218400</v>
      </c>
      <c r="T59" s="76" t="n">
        <f aca="false">T15</f>
        <v>197600</v>
      </c>
      <c r="U59" s="76" t="n">
        <f aca="false">U15</f>
        <v>208000</v>
      </c>
      <c r="V59" s="76" t="n">
        <f aca="false">V15</f>
        <v>232960</v>
      </c>
      <c r="W59" s="76" t="n">
        <f aca="false">W15</f>
        <v>191360</v>
      </c>
      <c r="X59" s="76" t="n">
        <f aca="false">X15</f>
        <v>124800</v>
      </c>
      <c r="Y59" s="76" t="n">
        <f aca="false">Y15</f>
        <v>245440</v>
      </c>
      <c r="Z59" s="76" t="n">
        <f aca="false">Z15</f>
        <v>266240</v>
      </c>
      <c r="AA59" s="76" t="n">
        <f aca="false">AA15</f>
        <v>222560</v>
      </c>
      <c r="AB59" s="76" t="n">
        <f aca="false">AB15</f>
        <v>203840</v>
      </c>
    </row>
    <row r="60" customFormat="false" ht="15" hidden="false" customHeight="false" outlineLevel="0" collapsed="false">
      <c r="A60" s="27" t="s">
        <v>450</v>
      </c>
      <c r="B60" s="63"/>
      <c r="C60" s="66" t="n">
        <f aca="false">SUM(E60:P60)</f>
        <v>923294.961904762</v>
      </c>
      <c r="D60" s="66" t="n">
        <f aca="false">SUM(Q60:AB60)</f>
        <v>1078200</v>
      </c>
      <c r="E60" s="76" t="n">
        <f aca="false">E16</f>
        <v>50552.08</v>
      </c>
      <c r="F60" s="76" t="n">
        <f aca="false">F16</f>
        <v>68641.43</v>
      </c>
      <c r="G60" s="76" t="n">
        <f aca="false">G16</f>
        <v>91670.16</v>
      </c>
      <c r="H60" s="76" t="n">
        <f aca="false">H16</f>
        <v>96051.3</v>
      </c>
      <c r="I60" s="76" t="n">
        <f aca="false">I16</f>
        <v>88649.11</v>
      </c>
      <c r="J60" s="76" t="n">
        <f aca="false">J16</f>
        <v>29853.61</v>
      </c>
      <c r="K60" s="76" t="n">
        <f aca="false">K16</f>
        <v>71123.71</v>
      </c>
      <c r="L60" s="76" t="n">
        <f aca="false">L16</f>
        <v>38771.77</v>
      </c>
      <c r="M60" s="76" t="n">
        <f aca="false">M16</f>
        <v>90081.7919047619</v>
      </c>
      <c r="N60" s="76" t="n">
        <f aca="false">N16</f>
        <v>104400</v>
      </c>
      <c r="O60" s="76" t="n">
        <f aca="false">O16</f>
        <v>99000</v>
      </c>
      <c r="P60" s="76" t="n">
        <f aca="false">P16</f>
        <v>94500</v>
      </c>
      <c r="Q60" s="76" t="n">
        <f aca="false">Q16</f>
        <v>85500</v>
      </c>
      <c r="R60" s="76" t="n">
        <f aca="false">R16</f>
        <v>89100</v>
      </c>
      <c r="S60" s="76" t="n">
        <f aca="false">S16</f>
        <v>95400</v>
      </c>
      <c r="T60" s="76" t="n">
        <f aca="false">T16</f>
        <v>91800</v>
      </c>
      <c r="U60" s="76" t="n">
        <f aca="false">U16</f>
        <v>87300</v>
      </c>
      <c r="V60" s="76" t="n">
        <f aca="false">V16</f>
        <v>99000</v>
      </c>
      <c r="W60" s="76" t="n">
        <f aca="false">W16</f>
        <v>83700</v>
      </c>
      <c r="X60" s="76" t="n">
        <f aca="false">X16</f>
        <v>54000</v>
      </c>
      <c r="Y60" s="76" t="n">
        <f aca="false">Y16</f>
        <v>94500</v>
      </c>
      <c r="Z60" s="76" t="n">
        <f aca="false">Z16</f>
        <v>104400</v>
      </c>
      <c r="AA60" s="76" t="n">
        <f aca="false">AA16</f>
        <v>99000</v>
      </c>
      <c r="AB60" s="76" t="n">
        <f aca="false">AB16</f>
        <v>94500</v>
      </c>
    </row>
    <row r="61" customFormat="false" ht="15" hidden="false" customHeight="false" outlineLevel="0" collapsed="false">
      <c r="A61" s="27" t="s">
        <v>451</v>
      </c>
      <c r="B61" s="63"/>
      <c r="C61" s="66" t="n">
        <f aca="false">SUM(E61:P61)</f>
        <v>-2487192.84321805</v>
      </c>
      <c r="D61" s="66" t="n">
        <f aca="false">SUM(Q61:AB61)</f>
        <v>-2824026.68937279</v>
      </c>
      <c r="E61" s="76" t="n">
        <f aca="false">E26+E27+E32+E33</f>
        <v>-211730.43525</v>
      </c>
      <c r="F61" s="76" t="n">
        <f aca="false">F26+F27+F32+F33</f>
        <v>-213465.947625</v>
      </c>
      <c r="G61" s="76" t="n">
        <f aca="false">G26+G27+G32+G33</f>
        <v>-214763.864</v>
      </c>
      <c r="H61" s="76" t="n">
        <f aca="false">H26+H27+H32+H33</f>
        <v>-204890.385875</v>
      </c>
      <c r="I61" s="76" t="n">
        <f aca="false">I26+I27+I32+I33</f>
        <v>-207680.49275</v>
      </c>
      <c r="J61" s="76" t="n">
        <f aca="false">J26+J27+J32+J33</f>
        <v>-201034.4415</v>
      </c>
      <c r="K61" s="76" t="n">
        <f aca="false">K26+K27+K32+K33</f>
        <v>-194238.652</v>
      </c>
      <c r="L61" s="76" t="n">
        <f aca="false">L26+L27+L32+L33</f>
        <v>-179909.959875</v>
      </c>
      <c r="M61" s="76" t="n">
        <f aca="false">M26+M27+M32+M33</f>
        <v>-202930.2118175</v>
      </c>
      <c r="N61" s="76" t="n">
        <f aca="false">N26+N27+N32+N33</f>
        <v>-213588.45927875</v>
      </c>
      <c r="O61" s="76" t="n">
        <f aca="false">O26+O27+O32+O33</f>
        <v>-221284.171570018</v>
      </c>
      <c r="P61" s="76" t="n">
        <f aca="false">P26+P27+P32+P33</f>
        <v>-221675.821676779</v>
      </c>
      <c r="Q61" s="76" t="n">
        <f aca="false">Q26+Q27+Q32+Q33</f>
        <v>-239088.252206485</v>
      </c>
      <c r="R61" s="76" t="n">
        <f aca="false">R26+R27+R32+R33</f>
        <v>-237127.596830383</v>
      </c>
      <c r="S61" s="76" t="n">
        <f aca="false">S26+S27+S32+S33</f>
        <v>-239209.169287989</v>
      </c>
      <c r="T61" s="76" t="n">
        <f aca="false">T26+T27+T32+T33</f>
        <v>-233374.321451278</v>
      </c>
      <c r="U61" s="76" t="n">
        <f aca="false">U26+U27+U32+U33</f>
        <v>-239385.162512893</v>
      </c>
      <c r="V61" s="76" t="n">
        <f aca="false">V26+V27+V32+V33</f>
        <v>-236151.401219021</v>
      </c>
      <c r="W61" s="76" t="n">
        <f aca="false">W26+W27+W32+W33</f>
        <v>-225795.420596906</v>
      </c>
      <c r="X61" s="76" t="n">
        <f aca="false">X26+X27+X32+X33</f>
        <v>-209247.372039706</v>
      </c>
      <c r="Y61" s="76" t="n">
        <f aca="false">Y26+Y27+Y32+Y33</f>
        <v>-238175.660142009</v>
      </c>
      <c r="Z61" s="76" t="n">
        <f aca="false">Z26+Z27+Z32+Z33</f>
        <v>-244350.800323478</v>
      </c>
      <c r="AA61" s="76" t="n">
        <f aca="false">AA26+AA27+AA32+AA33</f>
        <v>-246168.5355386</v>
      </c>
      <c r="AB61" s="76" t="n">
        <f aca="false">AB26+AB27+AB32+AB33</f>
        <v>-235952.997224045</v>
      </c>
    </row>
    <row r="62" customFormat="false" ht="15" hidden="false" customHeight="false" outlineLevel="0" collapsed="false">
      <c r="A62" s="27" t="s">
        <v>452</v>
      </c>
      <c r="B62" s="63"/>
      <c r="C62" s="65" t="n">
        <f aca="false">IF(C17=0,0,-C61/C17)</f>
        <v>0.33021191317548</v>
      </c>
      <c r="D62" s="65" t="n">
        <f aca="false">IF(D17=0,0,-D61/D17)</f>
        <v>0.344207186261215</v>
      </c>
      <c r="E62" s="79" t="n">
        <f aca="false">IF(E17=0,0,-E61/E17)</f>
        <v>0.374420832394174</v>
      </c>
      <c r="F62" s="79" t="n">
        <f aca="false">IF(F17=0,0,-F61/F17)</f>
        <v>0.357630544062767</v>
      </c>
      <c r="G62" s="79" t="n">
        <f aca="false">IF(G17=0,0,-G61/G17)</f>
        <v>0.328617227121234</v>
      </c>
      <c r="H62" s="79" t="n">
        <f aca="false">IF(H17=0,0,-H61/H17)</f>
        <v>0.323460331890925</v>
      </c>
      <c r="I62" s="79" t="n">
        <f aca="false">IF(I17=0,0,-I61/I17)</f>
        <v>0.328533842820774</v>
      </c>
      <c r="J62" s="79" t="n">
        <f aca="false">IF(J17=0,0,-J61/J17)</f>
        <v>0.33381222725696</v>
      </c>
      <c r="K62" s="79" t="n">
        <f aca="false">IF(K17=0,0,-K61/K17)</f>
        <v>0.322438869903678</v>
      </c>
      <c r="L62" s="79" t="n">
        <f aca="false">IF(L17=0,0,-L61/L17)</f>
        <v>0.362241509068006</v>
      </c>
      <c r="M62" s="79" t="n">
        <f aca="false">IF(M17=0,0,-M61/M17)</f>
        <v>0.299656692335861</v>
      </c>
      <c r="N62" s="79" t="n">
        <f aca="false">IF(N17=0,0,-N61/N17)</f>
        <v>0.296580363462435</v>
      </c>
      <c r="O62" s="79" t="n">
        <f aca="false">IF(O17=0,0,-O61/O17)</f>
        <v>0.324070206108192</v>
      </c>
      <c r="P62" s="79" t="n">
        <f aca="false">IF(P17=0,0,-P61/P17)</f>
        <v>0.331298614387226</v>
      </c>
      <c r="Q62" s="79" t="n">
        <f aca="false">IF(Q17=0,0,-Q61/Q17)</f>
        <v>0.371649014910647</v>
      </c>
      <c r="R62" s="79" t="n">
        <f aca="false">IF(R17=0,0,-R61/R17)</f>
        <v>0.358787849432525</v>
      </c>
      <c r="S62" s="79" t="n">
        <f aca="false">IF(S17=0,0,-S61/S17)</f>
        <v>0.343504551443274</v>
      </c>
      <c r="T62" s="79" t="n">
        <f aca="false">IF(T17=0,0,-T61/T17)</f>
        <v>0.345847307080879</v>
      </c>
      <c r="U62" s="79" t="n">
        <f aca="false">IF(U17=0,0,-U61/U17)</f>
        <v>0.351155942499596</v>
      </c>
      <c r="V62" s="79" t="n">
        <f aca="false">IF(V17=0,0,-V61/V17)</f>
        <v>0.328114253286827</v>
      </c>
      <c r="W62" s="79" t="n">
        <f aca="false">IF(W17=0,0,-W61/W17)</f>
        <v>0.340503323956618</v>
      </c>
      <c r="X62" s="79" t="n">
        <f aca="false">IF(X17=0,0,-X61/X17)</f>
        <v>0.371612372272529</v>
      </c>
      <c r="Y62" s="79" t="n">
        <f aca="false">IF(Y17=0,0,-Y61/Y17)</f>
        <v>0.326276108896175</v>
      </c>
      <c r="Z62" s="79" t="n">
        <f aca="false">IF(Z17=0,0,-Z61/Z17)</f>
        <v>0.320452871668452</v>
      </c>
      <c r="AA62" s="79" t="n">
        <f aca="false">IF(AA17=0,0,-AA61/AA17)</f>
        <v>0.344208521797933</v>
      </c>
      <c r="AB62" s="79" t="n">
        <f aca="false">IF(AB17=0,0,-AB61/AB17)</f>
        <v>0.3401190953602</v>
      </c>
    </row>
    <row r="63" customFormat="false" ht="15" hidden="false" customHeight="false" outlineLevel="0" collapsed="false">
      <c r="A63" s="24" t="s">
        <v>453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454</v>
      </c>
    </row>
    <row r="3" customFormat="false" ht="15" hidden="false" customHeight="false" outlineLevel="0" collapsed="false">
      <c r="A3" s="50" t="s">
        <v>455</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456</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385</v>
      </c>
      <c r="B9" s="63" t="s">
        <v>35</v>
      </c>
      <c r="C9" s="66" t="n">
        <f aca="false">P9</f>
        <v>704225.523172196</v>
      </c>
      <c r="D9" s="66" t="n">
        <f aca="false">AB9</f>
        <v>1204217.46963487</v>
      </c>
      <c r="E9" s="67" t="n">
        <f aca="false">CF!E31</f>
        <v>1081285.7015</v>
      </c>
      <c r="F9" s="67" t="n">
        <f aca="false">CF!F31</f>
        <v>1191256.17355</v>
      </c>
      <c r="G9" s="67" t="n">
        <f aca="false">CF!G31</f>
        <v>1285102.226625</v>
      </c>
      <c r="H9" s="67" t="n">
        <f aca="false">CF!H31</f>
        <v>1255629.589725</v>
      </c>
      <c r="I9" s="67" t="n">
        <f aca="false">CF!I31</f>
        <v>1151241.06535</v>
      </c>
      <c r="J9" s="67" t="n">
        <f aca="false">CF!J31</f>
        <v>880479.687449999</v>
      </c>
      <c r="K9" s="67" t="n">
        <f aca="false">CF!K31</f>
        <v>719668.270749998</v>
      </c>
      <c r="L9" s="67" t="n">
        <f aca="false">CF!L31</f>
        <v>842052.882849998</v>
      </c>
      <c r="M9" s="67" t="n">
        <f aca="false">CF!M31</f>
        <v>805903.217498883</v>
      </c>
      <c r="N9" s="67" t="n">
        <f aca="false">CF!N31</f>
        <v>747498.193180666</v>
      </c>
      <c r="O9" s="67" t="n">
        <f aca="false">CF!O31</f>
        <v>689023.011464358</v>
      </c>
      <c r="P9" s="67" t="n">
        <f aca="false">CF!P31</f>
        <v>704225.523172196</v>
      </c>
      <c r="Q9" s="67" t="n">
        <f aca="false">CF!Q31</f>
        <v>774924.957040646</v>
      </c>
      <c r="R9" s="67" t="n">
        <f aca="false">CF!R31</f>
        <v>843337.606739651</v>
      </c>
      <c r="S9" s="67" t="n">
        <f aca="false">CF!S31</f>
        <v>973624.402927203</v>
      </c>
      <c r="T9" s="67" t="n">
        <f aca="false">CF!T31</f>
        <v>1013620.04470379</v>
      </c>
      <c r="U9" s="67" t="n">
        <f aca="false">CF!U31</f>
        <v>1122811.40593551</v>
      </c>
      <c r="V9" s="67" t="n">
        <f aca="false">CF!V31</f>
        <v>1067687.99552386</v>
      </c>
      <c r="W9" s="67" t="n">
        <f aca="false">CF!W31</f>
        <v>997915.305979996</v>
      </c>
      <c r="X9" s="67" t="n">
        <f aca="false">CF!X31</f>
        <v>1190957.87565018</v>
      </c>
      <c r="Y9" s="67" t="n">
        <f aca="false">CF!Y31</f>
        <v>1267478.33340301</v>
      </c>
      <c r="Z9" s="67" t="n">
        <f aca="false">CF!Z31</f>
        <v>1207475.59812654</v>
      </c>
      <c r="AA9" s="67" t="n">
        <f aca="false">CF!AA31</f>
        <v>1198311.33665152</v>
      </c>
      <c r="AB9" s="67" t="n">
        <f aca="false">CF!AB31</f>
        <v>1204217.46963487</v>
      </c>
    </row>
    <row r="10" customFormat="false" ht="15" hidden="false" customHeight="false" outlineLevel="0" collapsed="false">
      <c r="A10" s="27" t="s">
        <v>457</v>
      </c>
      <c r="B10" s="63" t="s">
        <v>63</v>
      </c>
      <c r="C10" s="66" t="n">
        <f aca="false">P10</f>
        <v>980541.764952577</v>
      </c>
      <c r="D10" s="66" t="n">
        <f aca="false">AB10</f>
        <v>1013643.85662002</v>
      </c>
      <c r="E10" s="67" t="n">
        <f aca="false">Receivables!E34</f>
        <v>1084367.90528707</v>
      </c>
      <c r="F10" s="67" t="n">
        <f aca="false">Receivables!F34</f>
        <v>866796.727562001</v>
      </c>
      <c r="G10" s="67" t="n">
        <f aca="false">Receivables!G34</f>
        <v>870475.398735108</v>
      </c>
      <c r="H10" s="67" t="n">
        <f aca="false">Receivables!H34</f>
        <v>926607.216516523</v>
      </c>
      <c r="I10" s="67" t="n">
        <f aca="false">Receivables!I34</f>
        <v>870335.3703545</v>
      </c>
      <c r="J10" s="67" t="n">
        <f aca="false">Receivables!J34</f>
        <v>868847.294118309</v>
      </c>
      <c r="K10" s="67" t="n">
        <f aca="false">Receivables!K34</f>
        <v>848195.436302565</v>
      </c>
      <c r="L10" s="67" t="n">
        <f aca="false">Receivables!L34</f>
        <v>714105.221664989</v>
      </c>
      <c r="M10" s="67" t="n">
        <f aca="false">Receivables!M34</f>
        <v>891075.049137173</v>
      </c>
      <c r="N10" s="67" t="n">
        <f aca="false">Receivables!N34</f>
        <v>964686.955674379</v>
      </c>
      <c r="O10" s="67" t="n">
        <f aca="false">Receivables!O34</f>
        <v>1065895.40706613</v>
      </c>
      <c r="P10" s="67" t="n">
        <f aca="false">Receivables!P34</f>
        <v>980541.764952577</v>
      </c>
      <c r="Q10" s="67" t="n">
        <f aca="false">Receivables!Q34</f>
        <v>1184789.13138886</v>
      </c>
      <c r="R10" s="67" t="n">
        <f aca="false">Receivables!R34</f>
        <v>996572.896639656</v>
      </c>
      <c r="S10" s="67" t="n">
        <f aca="false">Receivables!S34</f>
        <v>979277.184682326</v>
      </c>
      <c r="T10" s="67" t="n">
        <f aca="false">Receivables!T34</f>
        <v>955099.093416209</v>
      </c>
      <c r="U10" s="67" t="n">
        <f aca="false">Receivables!U34</f>
        <v>948428.924265957</v>
      </c>
      <c r="V10" s="67" t="n">
        <f aca="false">Receivables!V34</f>
        <v>1001924.34552507</v>
      </c>
      <c r="W10" s="67" t="n">
        <f aca="false">Receivables!W34</f>
        <v>943704.91364636</v>
      </c>
      <c r="X10" s="67" t="n">
        <f aca="false">Receivables!X34</f>
        <v>797288.855015911</v>
      </c>
      <c r="Y10" s="67" t="n">
        <f aca="false">Receivables!Y34</f>
        <v>981444.127615616</v>
      </c>
      <c r="Z10" s="67" t="n">
        <f aca="false">Receivables!Z34</f>
        <v>1071378.74302437</v>
      </c>
      <c r="AA10" s="67" t="n">
        <f aca="false">Receivables!AA34</f>
        <v>1029666.19414231</v>
      </c>
      <c r="AB10" s="67" t="n">
        <f aca="false">Receivables!AB34</f>
        <v>1013643.85662002</v>
      </c>
    </row>
    <row r="11" customFormat="false" ht="15" hidden="false" customHeight="false" outlineLevel="0" collapsed="false">
      <c r="A11" s="27" t="s">
        <v>458</v>
      </c>
      <c r="B11" s="63" t="s">
        <v>63</v>
      </c>
      <c r="C11" s="66" t="n">
        <f aca="false">P11</f>
        <v>161149.158759365</v>
      </c>
      <c r="D11" s="66" t="n">
        <f aca="false">AB11</f>
        <v>180791.977688924</v>
      </c>
      <c r="E11" s="67" t="n">
        <f aca="false">Receivables!E42</f>
        <v>209645.717815393</v>
      </c>
      <c r="F11" s="67" t="n">
        <f aca="false">Receivables!F42</f>
        <v>182411.272957723</v>
      </c>
      <c r="G11" s="67" t="n">
        <f aca="false">Receivables!G42</f>
        <v>184277.275662514</v>
      </c>
      <c r="H11" s="67" t="n">
        <f aca="false">Receivables!H42</f>
        <v>180533.797954047</v>
      </c>
      <c r="I11" s="67" t="n">
        <f aca="false">Receivables!I42</f>
        <v>152960.428004472</v>
      </c>
      <c r="J11" s="67" t="n">
        <f aca="false">Receivables!J42</f>
        <v>179569.444619262</v>
      </c>
      <c r="K11" s="67" t="n">
        <f aca="false">Receivables!K42</f>
        <v>176724.586989785</v>
      </c>
      <c r="L11" s="67" t="n">
        <f aca="false">Receivables!L42</f>
        <v>156842.920272367</v>
      </c>
      <c r="M11" s="67" t="n">
        <f aca="false">Receivables!M42</f>
        <v>170099.416885455</v>
      </c>
      <c r="N11" s="67" t="n">
        <f aca="false">Receivables!N42</f>
        <v>169755.17417169</v>
      </c>
      <c r="O11" s="67" t="n">
        <f aca="false">Receivables!O42</f>
        <v>165253.747813134</v>
      </c>
      <c r="P11" s="67" t="n">
        <f aca="false">Receivables!P42</f>
        <v>161149.158759365</v>
      </c>
      <c r="Q11" s="67" t="n">
        <f aca="false">Receivables!Q42</f>
        <v>185363.046463974</v>
      </c>
      <c r="R11" s="67" t="n">
        <f aca="false">Receivables!R42</f>
        <v>181544.015563374</v>
      </c>
      <c r="S11" s="67" t="n">
        <f aca="false">Receivables!S42</f>
        <v>167538.063685028</v>
      </c>
      <c r="T11" s="67" t="n">
        <f aca="false">Receivables!T42</f>
        <v>173004.288548581</v>
      </c>
      <c r="U11" s="67" t="n">
        <f aca="false">Receivables!U42</f>
        <v>171698.711435472</v>
      </c>
      <c r="V11" s="67" t="n">
        <f aca="false">Receivables!V42</f>
        <v>176463.709869447</v>
      </c>
      <c r="W11" s="67" t="n">
        <f aca="false">Receivables!W42</f>
        <v>172844.270393787</v>
      </c>
      <c r="X11" s="67" t="n">
        <f aca="false">Receivables!X42</f>
        <v>151155.232363671</v>
      </c>
      <c r="Y11" s="67" t="n">
        <f aca="false">Receivables!Y42</f>
        <v>164082.085349335</v>
      </c>
      <c r="Z11" s="67" t="n">
        <f aca="false">Receivables!Z42</f>
        <v>188775.458057075</v>
      </c>
      <c r="AA11" s="67" t="n">
        <f aca="false">Receivables!AA42</f>
        <v>186128.544770814</v>
      </c>
      <c r="AB11" s="67" t="n">
        <f aca="false">Receivables!AB42</f>
        <v>180791.977688924</v>
      </c>
    </row>
    <row r="12" customFormat="false" ht="15" hidden="false" customHeight="false" outlineLevel="0" collapsed="false">
      <c r="A12" s="27" t="s">
        <v>459</v>
      </c>
      <c r="B12" s="63" t="s">
        <v>51</v>
      </c>
      <c r="C12" s="66" t="n">
        <f aca="false">P12</f>
        <v>8800.00000000001</v>
      </c>
      <c r="D12" s="66" t="n">
        <f aca="false">AB12</f>
        <v>-0</v>
      </c>
      <c r="E12" s="67" t="n">
        <f aca="false">Projects!E157</f>
        <v>-0</v>
      </c>
      <c r="F12" s="67" t="n">
        <f aca="false">Projects!F157</f>
        <v>1309.09</v>
      </c>
      <c r="G12" s="67" t="n">
        <f aca="false">Projects!G157</f>
        <v>21871.79</v>
      </c>
      <c r="H12" s="67" t="n">
        <f aca="false">Projects!H157</f>
        <v>5525</v>
      </c>
      <c r="I12" s="67" t="n">
        <f aca="false">Projects!I157</f>
        <v>14479.38</v>
      </c>
      <c r="J12" s="67" t="n">
        <f aca="false">Projects!J157</f>
        <v>8287.5</v>
      </c>
      <c r="K12" s="67" t="n">
        <f aca="false">Projects!K157</f>
        <v>6791.49</v>
      </c>
      <c r="L12" s="67" t="n">
        <f aca="false">Projects!L157</f>
        <v>-0</v>
      </c>
      <c r="M12" s="67" t="n">
        <f aca="false">Projects!M157</f>
        <v>14144.7619047619</v>
      </c>
      <c r="N12" s="67" t="n">
        <f aca="false">Projects!N157</f>
        <v>39572.380952381</v>
      </c>
      <c r="O12" s="67" t="n">
        <f aca="false">Projects!O157</f>
        <v>-0</v>
      </c>
      <c r="P12" s="67" t="n">
        <f aca="false">Projects!P157</f>
        <v>8800.00000000001</v>
      </c>
      <c r="Q12" s="67" t="n">
        <f aca="false">Projects!Q157</f>
        <v>-0</v>
      </c>
      <c r="R12" s="67" t="n">
        <f aca="false">Projects!R157</f>
        <v>-0</v>
      </c>
      <c r="S12" s="67" t="n">
        <f aca="false">Projects!S157</f>
        <v>-0</v>
      </c>
      <c r="T12" s="67" t="n">
        <f aca="false">Projects!T157</f>
        <v>-0</v>
      </c>
      <c r="U12" s="67" t="n">
        <f aca="false">Projects!U157</f>
        <v>-0</v>
      </c>
      <c r="V12" s="67" t="n">
        <f aca="false">Projects!V157</f>
        <v>-0</v>
      </c>
      <c r="W12" s="67" t="n">
        <f aca="false">Projects!W157</f>
        <v>-0</v>
      </c>
      <c r="X12" s="67" t="n">
        <f aca="false">Projects!X157</f>
        <v>-0</v>
      </c>
      <c r="Y12" s="67" t="n">
        <f aca="false">Projects!Y157</f>
        <v>-0</v>
      </c>
      <c r="Z12" s="67" t="n">
        <f aca="false">Projects!Z157</f>
        <v>-0</v>
      </c>
      <c r="AA12" s="67" t="n">
        <f aca="false">Projects!AA157</f>
        <v>-0</v>
      </c>
      <c r="AB12" s="67" t="n">
        <f aca="false">Projects!AB157</f>
        <v>-0</v>
      </c>
    </row>
    <row r="13" customFormat="false" ht="15" hidden="false" customHeight="false" outlineLevel="0" collapsed="false">
      <c r="A13" s="27" t="s">
        <v>460</v>
      </c>
      <c r="B13" s="63" t="s">
        <v>53</v>
      </c>
      <c r="C13" s="66" t="n">
        <f aca="false">P13</f>
        <v>80273.5070967742</v>
      </c>
      <c r="D13" s="66" t="n">
        <f aca="false">AB13</f>
        <v>80273.5070967742</v>
      </c>
      <c r="E13" s="67" t="n">
        <f aca="false">Hardware!E16</f>
        <v>73904.6</v>
      </c>
      <c r="F13" s="67" t="n">
        <f aca="false">Hardware!F16</f>
        <v>76268.62</v>
      </c>
      <c r="G13" s="67" t="n">
        <f aca="false">Hardware!G16</f>
        <v>91851.66</v>
      </c>
      <c r="H13" s="67" t="n">
        <f aca="false">Hardware!H16</f>
        <v>86610.7</v>
      </c>
      <c r="I13" s="67" t="n">
        <f aca="false">Hardware!I16</f>
        <v>79426.39</v>
      </c>
      <c r="J13" s="67" t="n">
        <f aca="false">Hardware!J16</f>
        <v>93242.97</v>
      </c>
      <c r="K13" s="67" t="n">
        <f aca="false">Hardware!K16</f>
        <v>77430.33</v>
      </c>
      <c r="L13" s="67" t="n">
        <f aca="false">Hardware!L16</f>
        <v>52742.81</v>
      </c>
      <c r="M13" s="67" t="n">
        <f aca="false">Hardware!M16</f>
        <v>99877.7173333333</v>
      </c>
      <c r="N13" s="67" t="n">
        <f aca="false">Hardware!N16</f>
        <v>104847.029677419</v>
      </c>
      <c r="O13" s="67" t="n">
        <f aca="false">Hardware!O16</f>
        <v>90567.0826666667</v>
      </c>
      <c r="P13" s="67" t="n">
        <f aca="false">Hardware!P16</f>
        <v>80273.5070967742</v>
      </c>
      <c r="Q13" s="67" t="n">
        <f aca="false">Hardware!Q16</f>
        <v>72082.3329032258</v>
      </c>
      <c r="R13" s="67" t="n">
        <f aca="false">Hardware!R16</f>
        <v>83432.96</v>
      </c>
      <c r="S13" s="67" t="n">
        <f aca="false">Hardware!S16</f>
        <v>86007.3290322581</v>
      </c>
      <c r="T13" s="67" t="n">
        <f aca="false">Hardware!T16</f>
        <v>80410.0266666667</v>
      </c>
      <c r="U13" s="67" t="n">
        <f aca="false">Hardware!U16</f>
        <v>81911.7419354839</v>
      </c>
      <c r="V13" s="67" t="n">
        <f aca="false">Hardware!V16</f>
        <v>94799.1893333333</v>
      </c>
      <c r="W13" s="67" t="n">
        <f aca="false">Hardware!W16</f>
        <v>75358.8025806452</v>
      </c>
      <c r="X13" s="67" t="n">
        <f aca="false">Hardware!X16</f>
        <v>49147.0451612903</v>
      </c>
      <c r="Y13" s="67" t="n">
        <f aca="false">Hardware!Y16</f>
        <v>99877.7173333333</v>
      </c>
      <c r="Z13" s="67" t="n">
        <f aca="false">Hardware!Z16</f>
        <v>104847.029677419</v>
      </c>
      <c r="AA13" s="67" t="n">
        <f aca="false">Hardware!AA16</f>
        <v>90567.0826666667</v>
      </c>
      <c r="AB13" s="67" t="n">
        <f aca="false">Hardware!AB16</f>
        <v>80273.5070967742</v>
      </c>
    </row>
    <row r="14" customFormat="false" ht="15" hidden="false" customHeight="false" outlineLevel="0" collapsed="false">
      <c r="A14" s="27" t="s">
        <v>461</v>
      </c>
      <c r="B14" s="63" t="s">
        <v>55</v>
      </c>
      <c r="C14" s="66" t="n">
        <f aca="false">P14</f>
        <v>67750.2</v>
      </c>
      <c r="D14" s="66" t="n">
        <f aca="false">AB14</f>
        <v>70460.208</v>
      </c>
      <c r="E14" s="67" t="n">
        <f aca="false">Licences!E19</f>
        <v>224105</v>
      </c>
      <c r="F14" s="67" t="n">
        <f aca="false">Licences!F19</f>
        <v>208436.333333333</v>
      </c>
      <c r="G14" s="67" t="n">
        <f aca="false">Licences!G19</f>
        <v>197327.666666667</v>
      </c>
      <c r="H14" s="67" t="n">
        <f aca="false">Licences!H19</f>
        <v>182894</v>
      </c>
      <c r="I14" s="67" t="n">
        <f aca="false">Licences!I19</f>
        <v>164394.333333333</v>
      </c>
      <c r="J14" s="67" t="n">
        <f aca="false">Licences!J19</f>
        <v>151664.333333333</v>
      </c>
      <c r="K14" s="67" t="n">
        <f aca="false">Licences!K19</f>
        <v>134564.333333333</v>
      </c>
      <c r="L14" s="67" t="n">
        <f aca="false">Licences!L19</f>
        <v>113487</v>
      </c>
      <c r="M14" s="67" t="n">
        <f aca="false">Licences!M19</f>
        <v>104878.733333333</v>
      </c>
      <c r="N14" s="67" t="n">
        <f aca="false">Licences!N19</f>
        <v>90699.6666666667</v>
      </c>
      <c r="O14" s="67" t="n">
        <f aca="false">Licences!O19</f>
        <v>74119</v>
      </c>
      <c r="P14" s="67" t="n">
        <f aca="false">Licences!P19</f>
        <v>67750.2</v>
      </c>
      <c r="Q14" s="67" t="n">
        <f aca="false">Licences!Q19</f>
        <v>233466.933333333</v>
      </c>
      <c r="R14" s="67" t="n">
        <f aca="false">Licences!R19</f>
        <v>217042.32</v>
      </c>
      <c r="S14" s="67" t="n">
        <f aca="false">Licences!S19</f>
        <v>205390.506666667</v>
      </c>
      <c r="T14" s="67" t="n">
        <f aca="false">Licences!T19</f>
        <v>190302.226666667</v>
      </c>
      <c r="U14" s="67" t="n">
        <f aca="false">Licences!U19</f>
        <v>171000.506666667</v>
      </c>
      <c r="V14" s="67" t="n">
        <f aca="false">Licences!V19</f>
        <v>157741.04</v>
      </c>
      <c r="W14" s="67" t="n">
        <f aca="false">Licences!W19</f>
        <v>139946.906666667</v>
      </c>
      <c r="X14" s="67" t="n">
        <f aca="false">Licences!X19</f>
        <v>118026.48</v>
      </c>
      <c r="Y14" s="67" t="n">
        <f aca="false">Licences!Y19</f>
        <v>109073.882666667</v>
      </c>
      <c r="Z14" s="67" t="n">
        <f aca="false">Licences!Z19</f>
        <v>94327.6533333334</v>
      </c>
      <c r="AA14" s="67" t="n">
        <f aca="false">Licences!AA19</f>
        <v>77083.76</v>
      </c>
      <c r="AB14" s="67" t="n">
        <f aca="false">Licences!AB19</f>
        <v>70460.208</v>
      </c>
    </row>
    <row r="15" customFormat="false" ht="15" hidden="false" customHeight="false" outlineLevel="0" collapsed="false">
      <c r="A15" s="27" t="s">
        <v>462</v>
      </c>
      <c r="B15" s="63" t="s">
        <v>57</v>
      </c>
      <c r="C15" s="66" t="n">
        <f aca="false">P15</f>
        <v>21029.9548198344</v>
      </c>
      <c r="D15" s="66" t="n">
        <f aca="false">AB15</f>
        <v>21580.6044085731</v>
      </c>
      <c r="E15" s="67" t="n">
        <f aca="false">Rebates!E25</f>
        <v>42747.82</v>
      </c>
      <c r="F15" s="67" t="n">
        <f aca="false">Rebates!F25</f>
        <v>16617.86</v>
      </c>
      <c r="G15" s="67" t="n">
        <f aca="false">Rebates!G25</f>
        <v>23683.86</v>
      </c>
      <c r="H15" s="67" t="n">
        <f aca="false">Rebates!H25</f>
        <v>29805.69</v>
      </c>
      <c r="I15" s="67" t="n">
        <f aca="false">Rebates!I25</f>
        <v>12228.05</v>
      </c>
      <c r="J15" s="67" t="n">
        <f aca="false">Rebates!J25</f>
        <v>19254.82</v>
      </c>
      <c r="K15" s="67" t="n">
        <f aca="false">Rebates!K25</f>
        <v>25039.32</v>
      </c>
      <c r="L15" s="67" t="n">
        <f aca="false">Rebates!L25</f>
        <v>9895.91</v>
      </c>
      <c r="M15" s="67" t="n">
        <f aca="false">Rebates!M25</f>
        <v>17703.99902685</v>
      </c>
      <c r="N15" s="67" t="n">
        <f aca="false">Rebates!N25</f>
        <v>25084.6077686809</v>
      </c>
      <c r="O15" s="67" t="n">
        <f aca="false">Rebates!O25</f>
        <v>14068.2586694761</v>
      </c>
      <c r="P15" s="67" t="n">
        <f aca="false">Rebates!P25</f>
        <v>21029.9548198344</v>
      </c>
      <c r="Q15" s="67" t="n">
        <f aca="false">Rebates!Q25</f>
        <v>32257.4585913982</v>
      </c>
      <c r="R15" s="67" t="n">
        <f aca="false">Rebates!R25</f>
        <v>17514.9744986615</v>
      </c>
      <c r="S15" s="67" t="n">
        <f aca="false">Rebates!S25</f>
        <v>24457.3287836427</v>
      </c>
      <c r="T15" s="67" t="n">
        <f aca="false">Rebates!T25</f>
        <v>30693.7919391839</v>
      </c>
      <c r="U15" s="67" t="n">
        <f aca="false">Rebates!U25</f>
        <v>12637.6615447697</v>
      </c>
      <c r="V15" s="67" t="n">
        <f aca="false">Rebates!V25</f>
        <v>19814.2673568408</v>
      </c>
      <c r="W15" s="67" t="n">
        <f aca="false">Rebates!W25</f>
        <v>25677.8623939079</v>
      </c>
      <c r="X15" s="67" t="n">
        <f aca="false">Rebates!X25</f>
        <v>10198.7882027794</v>
      </c>
      <c r="Y15" s="67" t="n">
        <f aca="false">Rebates!Y25</f>
        <v>18313.3489139479</v>
      </c>
      <c r="Z15" s="67" t="n">
        <f aca="false">Rebates!Z25</f>
        <v>25950.2415063491</v>
      </c>
      <c r="AA15" s="67" t="n">
        <f aca="false">Rebates!AA25</f>
        <v>14462.8709456744</v>
      </c>
      <c r="AB15" s="67" t="n">
        <f aca="false">Rebates!AB25</f>
        <v>21580.6044085731</v>
      </c>
    </row>
    <row r="16" customFormat="false" ht="15" hidden="false" customHeight="false" outlineLevel="0" collapsed="false">
      <c r="A16" s="27" t="s">
        <v>463</v>
      </c>
      <c r="B16" s="63" t="s">
        <v>61</v>
      </c>
      <c r="C16" s="66" t="n">
        <f aca="false">P16</f>
        <v>23090.661</v>
      </c>
      <c r="D16" s="66" t="n">
        <f aca="false">AB16</f>
        <v>20468.4294375</v>
      </c>
      <c r="E16" s="67" t="n">
        <f aca="false">People!E169</f>
        <v>0</v>
      </c>
      <c r="F16" s="67" t="n">
        <f aca="false">People!F169</f>
        <v>0</v>
      </c>
      <c r="G16" s="67" t="n">
        <f aca="false">People!G169</f>
        <v>4553.01</v>
      </c>
      <c r="H16" s="67" t="n">
        <f aca="false">People!H169</f>
        <v>4422.924</v>
      </c>
      <c r="I16" s="67" t="n">
        <f aca="false">People!I169</f>
        <v>7962.273</v>
      </c>
      <c r="J16" s="67" t="n">
        <f aca="false">People!J169</f>
        <v>7727.346</v>
      </c>
      <c r="K16" s="67" t="n">
        <f aca="false">People!K169</f>
        <v>13043.349</v>
      </c>
      <c r="L16" s="67" t="n">
        <f aca="false">People!L169</f>
        <v>12649.824</v>
      </c>
      <c r="M16" s="67" t="n">
        <f aca="false">People!M169</f>
        <v>12256.299</v>
      </c>
      <c r="N16" s="67" t="n">
        <f aca="false">People!N169</f>
        <v>11862.774</v>
      </c>
      <c r="O16" s="67" t="n">
        <f aca="false">People!O169</f>
        <v>23837.5665</v>
      </c>
      <c r="P16" s="67" t="n">
        <f aca="false">People!P169</f>
        <v>23090.661</v>
      </c>
      <c r="Q16" s="67" t="n">
        <f aca="false">People!Q169</f>
        <v>25566.2055</v>
      </c>
      <c r="R16" s="67" t="n">
        <f aca="false">People!R169</f>
        <v>28089.3628125</v>
      </c>
      <c r="S16" s="67" t="n">
        <f aca="false">People!S169</f>
        <v>27154.326375</v>
      </c>
      <c r="T16" s="67" t="n">
        <f aca="false">People!T169</f>
        <v>28461.1449375</v>
      </c>
      <c r="U16" s="67" t="n">
        <f aca="false">People!U169</f>
        <v>27462.0555</v>
      </c>
      <c r="V16" s="67" t="n">
        <f aca="false">People!V169</f>
        <v>26462.9660625</v>
      </c>
      <c r="W16" s="67" t="n">
        <f aca="false">People!W169</f>
        <v>25463.876625</v>
      </c>
      <c r="X16" s="67" t="n">
        <f aca="false">People!X169</f>
        <v>24464.7871875</v>
      </c>
      <c r="Y16" s="67" t="n">
        <f aca="false">People!Y169</f>
        <v>23465.69775</v>
      </c>
      <c r="Z16" s="67" t="n">
        <f aca="false">People!Z169</f>
        <v>22466.6083125</v>
      </c>
      <c r="AA16" s="67" t="n">
        <f aca="false">People!AA169</f>
        <v>21467.518875</v>
      </c>
      <c r="AB16" s="67" t="n">
        <f aca="false">People!AB169</f>
        <v>20468.4294375</v>
      </c>
    </row>
    <row r="17" customFormat="false" ht="15" hidden="false" customHeight="false" outlineLevel="0" collapsed="false">
      <c r="A17" s="27" t="s">
        <v>464</v>
      </c>
      <c r="B17" s="63" t="s">
        <v>465</v>
      </c>
      <c r="C17" s="66" t="n">
        <f aca="false">P17</f>
        <v>21000</v>
      </c>
      <c r="D17" s="66" t="n">
        <f aca="false">AB17</f>
        <v>21000</v>
      </c>
      <c r="E17" s="67" t="n">
        <f aca="false">Inputs_Actuals!$C$284</f>
        <v>21000</v>
      </c>
      <c r="F17" s="76" t="n">
        <f aca="false">E17</f>
        <v>21000</v>
      </c>
      <c r="G17" s="76" t="n">
        <f aca="false">F17</f>
        <v>21000</v>
      </c>
      <c r="H17" s="76" t="n">
        <f aca="false">G17</f>
        <v>21000</v>
      </c>
      <c r="I17" s="76" t="n">
        <f aca="false">H17</f>
        <v>21000</v>
      </c>
      <c r="J17" s="76" t="n">
        <f aca="false">I17</f>
        <v>21000</v>
      </c>
      <c r="K17" s="76" t="n">
        <f aca="false">J17</f>
        <v>21000</v>
      </c>
      <c r="L17" s="76" t="n">
        <f aca="false">K17</f>
        <v>21000</v>
      </c>
      <c r="M17" s="76" t="n">
        <f aca="false">L17</f>
        <v>21000</v>
      </c>
      <c r="N17" s="76" t="n">
        <f aca="false">M17</f>
        <v>21000</v>
      </c>
      <c r="O17" s="76" t="n">
        <f aca="false">N17</f>
        <v>21000</v>
      </c>
      <c r="P17" s="76" t="n">
        <f aca="false">O17</f>
        <v>21000</v>
      </c>
      <c r="Q17" s="76" t="n">
        <f aca="false">P17</f>
        <v>21000</v>
      </c>
      <c r="R17" s="76" t="n">
        <f aca="false">Q17</f>
        <v>21000</v>
      </c>
      <c r="S17" s="76" t="n">
        <f aca="false">R17</f>
        <v>21000</v>
      </c>
      <c r="T17" s="76" t="n">
        <f aca="false">S17</f>
        <v>21000</v>
      </c>
      <c r="U17" s="76" t="n">
        <f aca="false">T17</f>
        <v>21000</v>
      </c>
      <c r="V17" s="76" t="n">
        <f aca="false">U17</f>
        <v>21000</v>
      </c>
      <c r="W17" s="76" t="n">
        <f aca="false">V17</f>
        <v>21000</v>
      </c>
      <c r="X17" s="76" t="n">
        <f aca="false">W17</f>
        <v>21000</v>
      </c>
      <c r="Y17" s="76" t="n">
        <f aca="false">X17</f>
        <v>21000</v>
      </c>
      <c r="Z17" s="76" t="n">
        <f aca="false">Y17</f>
        <v>21000</v>
      </c>
      <c r="AA17" s="76" t="n">
        <f aca="false">Z17</f>
        <v>21000</v>
      </c>
      <c r="AB17" s="76" t="n">
        <f aca="false">AA17</f>
        <v>21000</v>
      </c>
    </row>
    <row r="18" customFormat="false" ht="15" hidden="false" customHeight="false" outlineLevel="0" collapsed="false">
      <c r="A18" s="27" t="s">
        <v>466</v>
      </c>
      <c r="B18" s="63" t="s">
        <v>77</v>
      </c>
      <c r="C18" s="66" t="n">
        <f aca="false">P18</f>
        <v>107551.988310185</v>
      </c>
      <c r="D18" s="66" t="n">
        <f aca="false">AB18</f>
        <v>86188.9521332141</v>
      </c>
      <c r="E18" s="67" t="n">
        <f aca="false">Fixed_Assets!E15</f>
        <v>118533.33</v>
      </c>
      <c r="F18" s="67" t="n">
        <f aca="false">Fixed_Assets!F15</f>
        <v>117316.66</v>
      </c>
      <c r="G18" s="67" t="n">
        <f aca="false">Fixed_Assets!G15</f>
        <v>125813.878888889</v>
      </c>
      <c r="H18" s="67" t="n">
        <f aca="false">Fixed_Assets!H15</f>
        <v>122852.764444444</v>
      </c>
      <c r="I18" s="67" t="n">
        <f aca="false">Fixed_Assets!I15</f>
        <v>119841.65</v>
      </c>
      <c r="J18" s="67" t="n">
        <f aca="false">Fixed_Assets!J15</f>
        <v>118080.535555556</v>
      </c>
      <c r="K18" s="67" t="n">
        <f aca="false">Fixed_Assets!K15</f>
        <v>116233.31</v>
      </c>
      <c r="L18" s="67" t="n">
        <f aca="false">Fixed_Assets!L15</f>
        <v>112999.973333333</v>
      </c>
      <c r="M18" s="67" t="n">
        <f aca="false">Fixed_Assets!M15</f>
        <v>109716.636666667</v>
      </c>
      <c r="N18" s="67" t="n">
        <f aca="false">Fixed_Assets!N15</f>
        <v>110283.3</v>
      </c>
      <c r="O18" s="67" t="n">
        <f aca="false">Fixed_Assets!O15</f>
        <v>110296.213333333</v>
      </c>
      <c r="P18" s="67" t="n">
        <f aca="false">Fixed_Assets!P15</f>
        <v>107551.988310185</v>
      </c>
      <c r="Q18" s="67" t="n">
        <f aca="false">Fixed_Assets!Q15</f>
        <v>109968.728590181</v>
      </c>
      <c r="R18" s="67" t="n">
        <f aca="false">Fixed_Assets!R15</f>
        <v>106995.194304193</v>
      </c>
      <c r="S18" s="67" t="n">
        <f aca="false">Fixed_Assets!S15</f>
        <v>105244.202958418</v>
      </c>
      <c r="T18" s="67" t="n">
        <f aca="false">Fixed_Assets!T15</f>
        <v>103437.513173676</v>
      </c>
      <c r="U18" s="67" t="n">
        <f aca="false">Fixed_Assets!U15</f>
        <v>100215.829721785</v>
      </c>
      <c r="V18" s="67" t="n">
        <f aca="false">Fixed_Assets!V15</f>
        <v>98230.4462247177</v>
      </c>
      <c r="W18" s="67" t="n">
        <f aca="false">Fixed_Assets!W15</f>
        <v>94845.3215998764</v>
      </c>
      <c r="X18" s="67" t="n">
        <f aca="false">Fixed_Assets!X15</f>
        <v>91380.8011890024</v>
      </c>
      <c r="Y18" s="67" t="n">
        <f aca="false">Fixed_Assets!Y15</f>
        <v>87952.2349110339</v>
      </c>
      <c r="Z18" s="67" t="n">
        <f aca="false">Fixed_Assets!Z15</f>
        <v>87444.0396537898</v>
      </c>
      <c r="AA18" s="67" t="n">
        <f aca="false">Fixed_Assets!AA15</f>
        <v>86856.2181374422</v>
      </c>
      <c r="AB18" s="67" t="n">
        <f aca="false">Fixed_Assets!AB15</f>
        <v>86188.9521332141</v>
      </c>
    </row>
    <row r="19" customFormat="false" ht="15" hidden="false" customHeight="false" outlineLevel="0" collapsed="false">
      <c r="A19" s="27" t="s">
        <v>467</v>
      </c>
      <c r="B19" s="63" t="s">
        <v>77</v>
      </c>
      <c r="C19" s="66" t="n">
        <f aca="false">P19</f>
        <v>315000</v>
      </c>
      <c r="D19" s="66" t="n">
        <f aca="false">AB19</f>
        <v>255000</v>
      </c>
      <c r="E19" s="67" t="n">
        <f aca="false">Fixed_Assets!E16</f>
        <v>370000</v>
      </c>
      <c r="F19" s="67" t="n">
        <f aca="false">Fixed_Assets!F16</f>
        <v>365000</v>
      </c>
      <c r="G19" s="67" t="n">
        <f aca="false">Fixed_Assets!G16</f>
        <v>360000</v>
      </c>
      <c r="H19" s="67" t="n">
        <f aca="false">Fixed_Assets!H16</f>
        <v>355000</v>
      </c>
      <c r="I19" s="67" t="n">
        <f aca="false">Fixed_Assets!I16</f>
        <v>350000</v>
      </c>
      <c r="J19" s="67" t="n">
        <f aca="false">Fixed_Assets!J16</f>
        <v>345000</v>
      </c>
      <c r="K19" s="67" t="n">
        <f aca="false">Fixed_Assets!K16</f>
        <v>340000</v>
      </c>
      <c r="L19" s="67" t="n">
        <f aca="false">Fixed_Assets!L16</f>
        <v>335000</v>
      </c>
      <c r="M19" s="67" t="n">
        <f aca="false">Fixed_Assets!M16</f>
        <v>330000</v>
      </c>
      <c r="N19" s="67" t="n">
        <f aca="false">Fixed_Assets!N16</f>
        <v>325000</v>
      </c>
      <c r="O19" s="67" t="n">
        <f aca="false">Fixed_Assets!O16</f>
        <v>320000</v>
      </c>
      <c r="P19" s="67" t="n">
        <f aca="false">Fixed_Assets!P16</f>
        <v>315000</v>
      </c>
      <c r="Q19" s="67" t="n">
        <f aca="false">Fixed_Assets!Q16</f>
        <v>310000</v>
      </c>
      <c r="R19" s="67" t="n">
        <f aca="false">Fixed_Assets!R16</f>
        <v>305000</v>
      </c>
      <c r="S19" s="67" t="n">
        <f aca="false">Fixed_Assets!S16</f>
        <v>300000</v>
      </c>
      <c r="T19" s="67" t="n">
        <f aca="false">Fixed_Assets!T16</f>
        <v>295000</v>
      </c>
      <c r="U19" s="67" t="n">
        <f aca="false">Fixed_Assets!U16</f>
        <v>290000</v>
      </c>
      <c r="V19" s="67" t="n">
        <f aca="false">Fixed_Assets!V16</f>
        <v>285000</v>
      </c>
      <c r="W19" s="67" t="n">
        <f aca="false">Fixed_Assets!W16</f>
        <v>280000</v>
      </c>
      <c r="X19" s="67" t="n">
        <f aca="false">Fixed_Assets!X16</f>
        <v>275000</v>
      </c>
      <c r="Y19" s="67" t="n">
        <f aca="false">Fixed_Assets!Y16</f>
        <v>270000</v>
      </c>
      <c r="Z19" s="67" t="n">
        <f aca="false">Fixed_Assets!Z16</f>
        <v>265000</v>
      </c>
      <c r="AA19" s="67" t="n">
        <f aca="false">Fixed_Assets!AA16</f>
        <v>260000</v>
      </c>
      <c r="AB19" s="67" t="n">
        <f aca="false">Fixed_Assets!AB16</f>
        <v>255000</v>
      </c>
    </row>
    <row r="20" customFormat="false" ht="15" hidden="false" customHeight="false" outlineLevel="0" collapsed="false">
      <c r="A20" s="27" t="s">
        <v>468</v>
      </c>
      <c r="B20" s="63" t="s">
        <v>77</v>
      </c>
      <c r="C20" s="66" t="n">
        <f aca="false">P20</f>
        <v>920000</v>
      </c>
      <c r="D20" s="66" t="n">
        <f aca="false">AB20</f>
        <v>920000</v>
      </c>
      <c r="E20" s="67" t="n">
        <f aca="false">Fixed_Assets!E17</f>
        <v>920000</v>
      </c>
      <c r="F20" s="67" t="n">
        <f aca="false">Fixed_Assets!F17</f>
        <v>920000</v>
      </c>
      <c r="G20" s="67" t="n">
        <f aca="false">Fixed_Assets!G17</f>
        <v>920000</v>
      </c>
      <c r="H20" s="67" t="n">
        <f aca="false">Fixed_Assets!H17</f>
        <v>920000</v>
      </c>
      <c r="I20" s="67" t="n">
        <f aca="false">Fixed_Assets!I17</f>
        <v>920000</v>
      </c>
      <c r="J20" s="67" t="n">
        <f aca="false">Fixed_Assets!J17</f>
        <v>920000</v>
      </c>
      <c r="K20" s="67" t="n">
        <f aca="false">Fixed_Assets!K17</f>
        <v>920000</v>
      </c>
      <c r="L20" s="67" t="n">
        <f aca="false">Fixed_Assets!L17</f>
        <v>920000</v>
      </c>
      <c r="M20" s="67" t="n">
        <f aca="false">Fixed_Assets!M17</f>
        <v>920000</v>
      </c>
      <c r="N20" s="67" t="n">
        <f aca="false">Fixed_Assets!N17</f>
        <v>920000</v>
      </c>
      <c r="O20" s="67" t="n">
        <f aca="false">Fixed_Assets!O17</f>
        <v>920000</v>
      </c>
      <c r="P20" s="67" t="n">
        <f aca="false">Fixed_Assets!P17</f>
        <v>920000</v>
      </c>
      <c r="Q20" s="67" t="n">
        <f aca="false">Fixed_Assets!Q17</f>
        <v>920000</v>
      </c>
      <c r="R20" s="67" t="n">
        <f aca="false">Fixed_Assets!R17</f>
        <v>920000</v>
      </c>
      <c r="S20" s="67" t="n">
        <f aca="false">Fixed_Assets!S17</f>
        <v>920000</v>
      </c>
      <c r="T20" s="67" t="n">
        <f aca="false">Fixed_Assets!T17</f>
        <v>920000</v>
      </c>
      <c r="U20" s="67" t="n">
        <f aca="false">Fixed_Assets!U17</f>
        <v>920000</v>
      </c>
      <c r="V20" s="67" t="n">
        <f aca="false">Fixed_Assets!V17</f>
        <v>920000</v>
      </c>
      <c r="W20" s="67" t="n">
        <f aca="false">Fixed_Assets!W17</f>
        <v>920000</v>
      </c>
      <c r="X20" s="67" t="n">
        <f aca="false">Fixed_Assets!X17</f>
        <v>920000</v>
      </c>
      <c r="Y20" s="67" t="n">
        <f aca="false">Fixed_Assets!Y17</f>
        <v>920000</v>
      </c>
      <c r="Z20" s="67" t="n">
        <f aca="false">Fixed_Assets!Z17</f>
        <v>920000</v>
      </c>
      <c r="AA20" s="67" t="n">
        <f aca="false">Fixed_Assets!AA17</f>
        <v>920000</v>
      </c>
      <c r="AB20" s="67" t="n">
        <f aca="false">Fixed_Assets!AB17</f>
        <v>920000</v>
      </c>
    </row>
    <row r="21" customFormat="false" ht="15" hidden="false" customHeight="false" outlineLevel="0" collapsed="false">
      <c r="A21" s="59" t="s">
        <v>469</v>
      </c>
      <c r="B21" s="60"/>
      <c r="C21" s="61" t="n">
        <f aca="false">P21</f>
        <v>3410412.75811093</v>
      </c>
      <c r="D21" s="61" t="n">
        <f aca="false">AB21</f>
        <v>3873625.00501987</v>
      </c>
      <c r="E21" s="61" t="n">
        <f aca="false">SUM(E9:E20)</f>
        <v>4145590.07460246</v>
      </c>
      <c r="F21" s="61" t="n">
        <f aca="false">SUM(F9:F20)</f>
        <v>3966412.73740306</v>
      </c>
      <c r="G21" s="61" t="n">
        <f aca="false">SUM(G9:G20)</f>
        <v>4105956.76657818</v>
      </c>
      <c r="H21" s="61" t="n">
        <f aca="false">SUM(H9:H20)</f>
        <v>4090881.68264001</v>
      </c>
      <c r="I21" s="61" t="n">
        <f aca="false">SUM(I9:I20)</f>
        <v>3863868.9400423</v>
      </c>
      <c r="J21" s="61" t="n">
        <f aca="false">SUM(J9:J20)</f>
        <v>3613153.93107646</v>
      </c>
      <c r="K21" s="61" t="n">
        <f aca="false">SUM(K9:K20)</f>
        <v>3398690.42637568</v>
      </c>
      <c r="L21" s="61" t="n">
        <f aca="false">SUM(L9:L20)</f>
        <v>3290776.54212069</v>
      </c>
      <c r="M21" s="61" t="n">
        <f aca="false">SUM(M9:M20)</f>
        <v>3496655.83078646</v>
      </c>
      <c r="N21" s="61" t="n">
        <f aca="false">SUM(N9:N20)</f>
        <v>3530290.08209188</v>
      </c>
      <c r="O21" s="61" t="n">
        <f aca="false">SUM(O9:O20)</f>
        <v>3494060.2875131</v>
      </c>
      <c r="P21" s="61" t="n">
        <f aca="false">SUM(P9:P20)</f>
        <v>3410412.75811093</v>
      </c>
      <c r="Q21" s="61" t="n">
        <f aca="false">SUM(Q9:Q20)</f>
        <v>3869418.79381162</v>
      </c>
      <c r="R21" s="61" t="n">
        <f aca="false">SUM(R9:R20)</f>
        <v>3720529.33055804</v>
      </c>
      <c r="S21" s="61" t="n">
        <f aca="false">SUM(S9:S20)</f>
        <v>3809693.34511054</v>
      </c>
      <c r="T21" s="61" t="n">
        <f aca="false">SUM(T9:T20)</f>
        <v>3811028.13005227</v>
      </c>
      <c r="U21" s="61" t="n">
        <f aca="false">SUM(U9:U20)</f>
        <v>3867166.83700564</v>
      </c>
      <c r="V21" s="61" t="n">
        <f aca="false">SUM(V9:V20)</f>
        <v>3869123.95989577</v>
      </c>
      <c r="W21" s="61" t="n">
        <f aca="false">SUM(W9:W20)</f>
        <v>3696757.25988624</v>
      </c>
      <c r="X21" s="61" t="n">
        <f aca="false">SUM(X9:X20)</f>
        <v>3648619.86477034</v>
      </c>
      <c r="Y21" s="61" t="n">
        <f aca="false">SUM(Y9:Y20)</f>
        <v>3962687.42794294</v>
      </c>
      <c r="Z21" s="61" t="n">
        <f aca="false">SUM(Z9:Z20)</f>
        <v>4008665.37169137</v>
      </c>
      <c r="AA21" s="61" t="n">
        <f aca="false">SUM(AA9:AA20)</f>
        <v>3905543.52618943</v>
      </c>
      <c r="AB21" s="61" t="n">
        <f aca="false">SUM(AB9:AB20)</f>
        <v>3873625.00501987</v>
      </c>
    </row>
    <row r="22" customFormat="false" ht="15" hidden="false" customHeight="false" outlineLevel="0" collapsed="false">
      <c r="A22" s="21" t="s">
        <v>470</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row>
    <row r="23" customFormat="false" ht="15" hidden="false" customHeight="false" outlineLevel="0" collapsed="false">
      <c r="A23" s="27" t="s">
        <v>471</v>
      </c>
      <c r="B23" s="63" t="s">
        <v>69</v>
      </c>
      <c r="C23" s="66" t="n">
        <f aca="false">P23</f>
        <v>205969.532449032</v>
      </c>
      <c r="D23" s="66" t="n">
        <f aca="false">AB23</f>
        <v>205969.532449032</v>
      </c>
      <c r="E23" s="67" t="n">
        <f aca="false">Payables!E11</f>
        <v>171017.478</v>
      </c>
      <c r="F23" s="67" t="n">
        <f aca="false">Payables!F11</f>
        <v>213959.7526</v>
      </c>
      <c r="G23" s="67" t="n">
        <f aca="false">Payables!G11</f>
        <v>259420.5818</v>
      </c>
      <c r="H23" s="67" t="n">
        <f aca="false">Payables!H11</f>
        <v>209385.411</v>
      </c>
      <c r="I23" s="67" t="n">
        <f aca="false">Payables!I11</f>
        <v>218285.2597</v>
      </c>
      <c r="J23" s="67" t="n">
        <f aca="false">Payables!J11</f>
        <v>272849.1531</v>
      </c>
      <c r="K23" s="67" t="n">
        <f aca="false">Payables!K11</f>
        <v>190772.2159</v>
      </c>
      <c r="L23" s="67" t="n">
        <f aca="false">Payables!L11</f>
        <v>99562.9462999999</v>
      </c>
      <c r="M23" s="67" t="n">
        <f aca="false">Payables!M11</f>
        <v>321225.06242</v>
      </c>
      <c r="N23" s="67" t="n">
        <f aca="false">Payables!N11</f>
        <v>291670.628583226</v>
      </c>
      <c r="O23" s="67" t="n">
        <f aca="false">Payables!O11</f>
        <v>221144.618776774</v>
      </c>
      <c r="P23" s="67" t="n">
        <f aca="false">Payables!P11</f>
        <v>205969.532449032</v>
      </c>
      <c r="Q23" s="67" t="n">
        <f aca="false">Payables!Q11</f>
        <v>186246.238141936</v>
      </c>
      <c r="R23" s="67" t="n">
        <f aca="false">Payables!R11</f>
        <v>219206.352929032</v>
      </c>
      <c r="S23" s="67" t="n">
        <f aca="false">Payables!S11</f>
        <v>237413.577909677</v>
      </c>
      <c r="T23" s="67" t="n">
        <f aca="false">Payables!T11</f>
        <v>205053.174090323</v>
      </c>
      <c r="U23" s="67" t="n">
        <f aca="false">Payables!U11</f>
        <v>224939.589780645</v>
      </c>
      <c r="V23" s="67" t="n">
        <f aca="false">Payables!V11</f>
        <v>265715.137899355</v>
      </c>
      <c r="W23" s="67" t="n">
        <f aca="false">Payables!W11</f>
        <v>181333.405894194</v>
      </c>
      <c r="X23" s="67" t="n">
        <f aca="false">Payables!X11</f>
        <v>101615.026374194</v>
      </c>
      <c r="Y23" s="67" t="n">
        <f aca="false">Payables!Y11</f>
        <v>325647.853171613</v>
      </c>
      <c r="Z23" s="67" t="n">
        <f aca="false">Payables!Z11</f>
        <v>291670.628583226</v>
      </c>
      <c r="AA23" s="67" t="n">
        <f aca="false">Payables!AA11</f>
        <v>221144.618776774</v>
      </c>
      <c r="AB23" s="67" t="n">
        <f aca="false">Payables!AB11</f>
        <v>205969.532449032</v>
      </c>
    </row>
    <row r="24" customFormat="false" ht="15" hidden="false" customHeight="false" outlineLevel="0" collapsed="false">
      <c r="A24" s="27" t="s">
        <v>472</v>
      </c>
      <c r="B24" s="63" t="s">
        <v>69</v>
      </c>
      <c r="C24" s="66" t="n">
        <f aca="false">P24</f>
        <v>182444.775940173</v>
      </c>
      <c r="D24" s="66" t="n">
        <f aca="false">AB24</f>
        <v>188842.305754329</v>
      </c>
      <c r="E24" s="67" t="n">
        <f aca="false">Payables!E15</f>
        <v>349276.4457</v>
      </c>
      <c r="F24" s="67" t="n">
        <f aca="false">Payables!F15</f>
        <v>139566.9641</v>
      </c>
      <c r="G24" s="67" t="n">
        <f aca="false">Payables!G15</f>
        <v>159995.6758</v>
      </c>
      <c r="H24" s="67" t="n">
        <f aca="false">Payables!H15</f>
        <v>146302.4442</v>
      </c>
      <c r="I24" s="67" t="n">
        <f aca="false">Payables!I15</f>
        <v>141212.0876</v>
      </c>
      <c r="J24" s="67" t="n">
        <f aca="false">Payables!J15</f>
        <v>151673.0196</v>
      </c>
      <c r="K24" s="67" t="n">
        <f aca="false">Payables!K15</f>
        <v>141778.3235</v>
      </c>
      <c r="L24" s="67" t="n">
        <f aca="false">Payables!L15</f>
        <v>118786.577</v>
      </c>
      <c r="M24" s="67" t="n">
        <f aca="false">Payables!M15</f>
        <v>159519.01229085</v>
      </c>
      <c r="N24" s="67" t="n">
        <f aca="false">Payables!N15</f>
        <v>156769.644123452</v>
      </c>
      <c r="O24" s="67" t="n">
        <f aca="false">Payables!O15</f>
        <v>163621.337645068</v>
      </c>
      <c r="P24" s="67" t="n">
        <f aca="false">Payables!P15</f>
        <v>182444.775940173</v>
      </c>
      <c r="Q24" s="67" t="n">
        <f aca="false">Payables!Q15</f>
        <v>367204.535563149</v>
      </c>
      <c r="R24" s="67" t="n">
        <f aca="false">Payables!R15</f>
        <v>148183.123346489</v>
      </c>
      <c r="S24" s="67" t="n">
        <f aca="false">Payables!S15</f>
        <v>165929.736729392</v>
      </c>
      <c r="T24" s="67" t="n">
        <f aca="false">Payables!T15</f>
        <v>153168.402332027</v>
      </c>
      <c r="U24" s="67" t="n">
        <f aca="false">Payables!U15</f>
        <v>149979.339068048</v>
      </c>
      <c r="V24" s="67" t="n">
        <f aca="false">Payables!V15</f>
        <v>161383.269345236</v>
      </c>
      <c r="W24" s="67" t="n">
        <f aca="false">Payables!W15</f>
        <v>149740.693572653</v>
      </c>
      <c r="X24" s="67" t="n">
        <f aca="false">Payables!X15</f>
        <v>126935.40660711</v>
      </c>
      <c r="Y24" s="67" t="n">
        <f aca="false">Payables!Y15</f>
        <v>169873.062572101</v>
      </c>
      <c r="Z24" s="67" t="n">
        <f aca="false">Payables!Z15</f>
        <v>167277.281996835</v>
      </c>
      <c r="AA24" s="67" t="n">
        <f aca="false">Payables!AA15</f>
        <v>169292.803095816</v>
      </c>
      <c r="AB24" s="67" t="n">
        <f aca="false">Payables!AB15</f>
        <v>188842.305754329</v>
      </c>
    </row>
    <row r="25" customFormat="false" ht="15" hidden="false" customHeight="false" outlineLevel="0" collapsed="false">
      <c r="A25" s="27" t="s">
        <v>473</v>
      </c>
      <c r="B25" s="63" t="s">
        <v>69</v>
      </c>
      <c r="C25" s="66" t="n">
        <f aca="false">P25</f>
        <v>21488.8472195842</v>
      </c>
      <c r="D25" s="66" t="n">
        <f aca="false">AB25</f>
        <v>22171.5941666205</v>
      </c>
      <c r="E25" s="67" t="n">
        <f aca="false">Payables!E21</f>
        <v>19340.7451717655</v>
      </c>
      <c r="F25" s="67" t="n">
        <f aca="false">Payables!F21</f>
        <v>19237.6251060221</v>
      </c>
      <c r="G25" s="67" t="n">
        <f aca="false">Payables!G21</f>
        <v>19903.7891836032</v>
      </c>
      <c r="H25" s="67" t="n">
        <f aca="false">Payables!H21</f>
        <v>20060.822867042</v>
      </c>
      <c r="I25" s="67" t="n">
        <f aca="false">Payables!I21</f>
        <v>19856.110724234</v>
      </c>
      <c r="J25" s="67" t="n">
        <f aca="false">Payables!J21</f>
        <v>19742.2967251361</v>
      </c>
      <c r="K25" s="67" t="n">
        <f aca="false">Payables!K21</f>
        <v>20113.804076718</v>
      </c>
      <c r="L25" s="67" t="n">
        <f aca="false">Payables!L21</f>
        <v>20113.033033033</v>
      </c>
      <c r="M25" s="67" t="n">
        <f aca="false">Payables!M21</f>
        <v>20483.1278548373</v>
      </c>
      <c r="N25" s="67" t="n">
        <f aca="false">Payables!N21</f>
        <v>20412.6608829382</v>
      </c>
      <c r="O25" s="67" t="n">
        <f aca="false">Payables!O21</f>
        <v>21502.7644988254</v>
      </c>
      <c r="P25" s="67" t="n">
        <f aca="false">Payables!P21</f>
        <v>21488.8472195842</v>
      </c>
      <c r="Q25" s="67" t="n">
        <f aca="false">Payables!Q21</f>
        <v>21742.3686474889</v>
      </c>
      <c r="R25" s="67" t="n">
        <f aca="false">Payables!R21</f>
        <v>22031.384601173</v>
      </c>
      <c r="S25" s="67" t="n">
        <f aca="false">Payables!S21</f>
        <v>21899.6162492308</v>
      </c>
      <c r="T25" s="67" t="n">
        <f aca="false">Payables!T21</f>
        <v>22065.9334007674</v>
      </c>
      <c r="U25" s="67" t="n">
        <f aca="false">Payables!U21</f>
        <v>22084.2681644399</v>
      </c>
      <c r="V25" s="67" t="n">
        <f aca="false">Payables!V21</f>
        <v>22121.9402781964</v>
      </c>
      <c r="W25" s="67" t="n">
        <f aca="false">Payables!W21</f>
        <v>22142.4358976942</v>
      </c>
      <c r="X25" s="67" t="n">
        <f aca="false">Payables!X21</f>
        <v>22061.6372395006</v>
      </c>
      <c r="Y25" s="67" t="n">
        <f aca="false">Payables!Y21</f>
        <v>22099.3074022724</v>
      </c>
      <c r="Z25" s="67" t="n">
        <f aca="false">Payables!Z21</f>
        <v>22125.0353101878</v>
      </c>
      <c r="AA25" s="67" t="n">
        <f aca="false">Payables!AA21</f>
        <v>22133.7313142819</v>
      </c>
      <c r="AB25" s="67" t="n">
        <f aca="false">Payables!AB21</f>
        <v>22171.5941666205</v>
      </c>
    </row>
    <row r="26" customFormat="false" ht="15" hidden="false" customHeight="false" outlineLevel="0" collapsed="false">
      <c r="A26" s="27" t="s">
        <v>474</v>
      </c>
      <c r="B26" s="63" t="s">
        <v>69</v>
      </c>
      <c r="C26" s="66" t="n">
        <f aca="false">P26</f>
        <v>48810.306202228</v>
      </c>
      <c r="D26" s="66" t="n">
        <f aca="false">AB26</f>
        <v>55031.2913409225</v>
      </c>
      <c r="E26" s="67" t="n">
        <f aca="false">Payables!E26</f>
        <v>38265.7182</v>
      </c>
      <c r="F26" s="67" t="n">
        <f aca="false">Payables!F26</f>
        <v>44873.8933</v>
      </c>
      <c r="G26" s="67" t="n">
        <f aca="false">Payables!G26</f>
        <v>71149.6332</v>
      </c>
      <c r="H26" s="67" t="n">
        <f aca="false">Payables!H26</f>
        <v>51792.6195</v>
      </c>
      <c r="I26" s="67" t="n">
        <f aca="false">Payables!I26</f>
        <v>61416.5207</v>
      </c>
      <c r="J26" s="67" t="n">
        <f aca="false">Payables!J26</f>
        <v>60928.0265</v>
      </c>
      <c r="K26" s="67" t="n">
        <f aca="false">Payables!K26</f>
        <v>59626.6094</v>
      </c>
      <c r="L26" s="67" t="n">
        <f aca="false">Payables!L26</f>
        <v>45069.4557</v>
      </c>
      <c r="M26" s="67" t="n">
        <f aca="false">Payables!M26</f>
        <v>48958.839302</v>
      </c>
      <c r="N26" s="67" t="n">
        <f aca="false">Payables!N26</f>
        <v>77078.4947953826</v>
      </c>
      <c r="O26" s="67" t="n">
        <f aca="false">Payables!O26</f>
        <v>68096.4398450583</v>
      </c>
      <c r="P26" s="67" t="n">
        <f aca="false">Payables!P26</f>
        <v>48810.306202228</v>
      </c>
      <c r="Q26" s="67" t="n">
        <f aca="false">Payables!Q26</f>
        <v>67847.4848770358</v>
      </c>
      <c r="R26" s="67" t="n">
        <f aca="false">Payables!R26</f>
        <v>53898.6933577013</v>
      </c>
      <c r="S26" s="67" t="n">
        <f aca="false">Payables!S26</f>
        <v>68385.3155576985</v>
      </c>
      <c r="T26" s="67" t="n">
        <f aca="false">Payables!T26</f>
        <v>58795.2887612818</v>
      </c>
      <c r="U26" s="67" t="n">
        <f aca="false">Payables!U26</f>
        <v>60950.6638332364</v>
      </c>
      <c r="V26" s="67" t="n">
        <f aca="false">Payables!V26</f>
        <v>59911.3971402832</v>
      </c>
      <c r="W26" s="67" t="n">
        <f aca="false">Payables!W26</f>
        <v>53386.9012325619</v>
      </c>
      <c r="X26" s="67" t="n">
        <f aca="false">Payables!X26</f>
        <v>45449.0361087844</v>
      </c>
      <c r="Y26" s="67" t="n">
        <f aca="false">Payables!Y26</f>
        <v>55031.3581049341</v>
      </c>
      <c r="Z26" s="67" t="n">
        <f aca="false">Payables!Z26</f>
        <v>63629.8124289506</v>
      </c>
      <c r="AA26" s="67" t="n">
        <f aca="false">Payables!AA26</f>
        <v>55696.9685910601</v>
      </c>
      <c r="AB26" s="67" t="n">
        <f aca="false">Payables!AB26</f>
        <v>55031.2913409225</v>
      </c>
    </row>
    <row r="27" customFormat="false" ht="15" hidden="false" customHeight="false" outlineLevel="0" collapsed="false">
      <c r="A27" s="27" t="s">
        <v>475</v>
      </c>
      <c r="B27" s="63" t="s">
        <v>55</v>
      </c>
      <c r="C27" s="66" t="n">
        <f aca="false">P27</f>
        <v>89145</v>
      </c>
      <c r="D27" s="66" t="n">
        <f aca="false">AB27</f>
        <v>92710.8000000001</v>
      </c>
      <c r="E27" s="67" t="n">
        <f aca="false">Licences!E14</f>
        <v>294875</v>
      </c>
      <c r="F27" s="67" t="n">
        <f aca="false">Licences!F14</f>
        <v>274258.333333333</v>
      </c>
      <c r="G27" s="67" t="n">
        <f aca="false">Licences!G14</f>
        <v>259641.666666667</v>
      </c>
      <c r="H27" s="67" t="n">
        <f aca="false">Licences!H14</f>
        <v>240650</v>
      </c>
      <c r="I27" s="67" t="n">
        <f aca="false">Licences!I14</f>
        <v>216308.333333333</v>
      </c>
      <c r="J27" s="67" t="n">
        <f aca="false">Licences!J14</f>
        <v>199558.333333333</v>
      </c>
      <c r="K27" s="67" t="n">
        <f aca="false">Licences!K14</f>
        <v>177058.333333333</v>
      </c>
      <c r="L27" s="67" t="n">
        <f aca="false">Licences!L14</f>
        <v>149325</v>
      </c>
      <c r="M27" s="67" t="n">
        <f aca="false">Licences!M14</f>
        <v>137998.333333333</v>
      </c>
      <c r="N27" s="67" t="n">
        <f aca="false">Licences!N14</f>
        <v>119341.666666667</v>
      </c>
      <c r="O27" s="67" t="n">
        <f aca="false">Licences!O14</f>
        <v>97525</v>
      </c>
      <c r="P27" s="67" t="n">
        <f aca="false">Licences!P14</f>
        <v>89145</v>
      </c>
      <c r="Q27" s="67" t="n">
        <f aca="false">Licences!Q14</f>
        <v>307193.333333333</v>
      </c>
      <c r="R27" s="67" t="n">
        <f aca="false">Licences!R14</f>
        <v>285582</v>
      </c>
      <c r="S27" s="67" t="n">
        <f aca="false">Licences!S14</f>
        <v>270250.666666667</v>
      </c>
      <c r="T27" s="67" t="n">
        <f aca="false">Licences!T14</f>
        <v>250397.666666667</v>
      </c>
      <c r="U27" s="67" t="n">
        <f aca="false">Licences!U14</f>
        <v>225000.666666667</v>
      </c>
      <c r="V27" s="67" t="n">
        <f aca="false">Licences!V14</f>
        <v>207554</v>
      </c>
      <c r="W27" s="67" t="n">
        <f aca="false">Licences!W14</f>
        <v>184140.666666667</v>
      </c>
      <c r="X27" s="67" t="n">
        <f aca="false">Licences!X14</f>
        <v>155298</v>
      </c>
      <c r="Y27" s="67" t="n">
        <f aca="false">Licences!Y14</f>
        <v>143518.266666667</v>
      </c>
      <c r="Z27" s="67" t="n">
        <f aca="false">Licences!Z14</f>
        <v>124115.333333333</v>
      </c>
      <c r="AA27" s="67" t="n">
        <f aca="false">Licences!AA14</f>
        <v>101426</v>
      </c>
      <c r="AB27" s="67" t="n">
        <f aca="false">Licences!AB14</f>
        <v>92710.8000000001</v>
      </c>
    </row>
    <row r="28" customFormat="false" ht="15" hidden="false" customHeight="false" outlineLevel="0" collapsed="false">
      <c r="A28" s="27" t="s">
        <v>476</v>
      </c>
      <c r="B28" s="63" t="s">
        <v>51</v>
      </c>
      <c r="C28" s="66" t="n">
        <f aca="false">P28</f>
        <v>0</v>
      </c>
      <c r="D28" s="66" t="n">
        <f aca="false">AB28</f>
        <v>0</v>
      </c>
      <c r="E28" s="67" t="n">
        <f aca="false">Projects!E156</f>
        <v>37072.12</v>
      </c>
      <c r="F28" s="67" t="n">
        <f aca="false">Projects!F156</f>
        <v>15447.78</v>
      </c>
      <c r="G28" s="67" t="n">
        <f aca="false">Projects!G156</f>
        <v>20244.32</v>
      </c>
      <c r="H28" s="67" t="n">
        <f aca="false">Projects!H156</f>
        <v>23998.23</v>
      </c>
      <c r="I28" s="67" t="n">
        <f aca="false">Projects!I156</f>
        <v>3087.5</v>
      </c>
      <c r="J28" s="67" t="n">
        <f aca="false">Projects!J156</f>
        <v>31482.01</v>
      </c>
      <c r="K28" s="67" t="n">
        <f aca="false">Projects!K156</f>
        <v>12814.29</v>
      </c>
      <c r="L28" s="67" t="n">
        <f aca="false">Projects!L156</f>
        <v>11219.03</v>
      </c>
      <c r="M28" s="67" t="n">
        <f aca="false">Projects!M156</f>
        <v>8800</v>
      </c>
      <c r="N28" s="67" t="n">
        <f aca="false">Projects!N156</f>
        <v>0</v>
      </c>
      <c r="O28" s="67" t="n">
        <f aca="false">Projects!O156</f>
        <v>8799.99999999999</v>
      </c>
      <c r="P28" s="67" t="n">
        <f aca="false">Projects!P156</f>
        <v>0</v>
      </c>
      <c r="Q28" s="67" t="n">
        <f aca="false">Projects!Q156</f>
        <v>0</v>
      </c>
      <c r="R28" s="67" t="n">
        <f aca="false">Projects!R156</f>
        <v>0</v>
      </c>
      <c r="S28" s="67" t="n">
        <f aca="false">Projects!S156</f>
        <v>0</v>
      </c>
      <c r="T28" s="67" t="n">
        <f aca="false">Projects!T156</f>
        <v>0</v>
      </c>
      <c r="U28" s="67" t="n">
        <f aca="false">Projects!U156</f>
        <v>0</v>
      </c>
      <c r="V28" s="67" t="n">
        <f aca="false">Projects!V156</f>
        <v>0</v>
      </c>
      <c r="W28" s="67" t="n">
        <f aca="false">Projects!W156</f>
        <v>0</v>
      </c>
      <c r="X28" s="67" t="n">
        <f aca="false">Projects!X156</f>
        <v>0</v>
      </c>
      <c r="Y28" s="67" t="n">
        <f aca="false">Projects!Y156</f>
        <v>0</v>
      </c>
      <c r="Z28" s="67" t="n">
        <f aca="false">Projects!Z156</f>
        <v>0</v>
      </c>
      <c r="AA28" s="67" t="n">
        <f aca="false">Projects!AA156</f>
        <v>0</v>
      </c>
      <c r="AB28" s="67" t="n">
        <f aca="false">Projects!AB156</f>
        <v>0</v>
      </c>
    </row>
    <row r="29" customFormat="false" ht="15" hidden="false" customHeight="false" outlineLevel="0" collapsed="false">
      <c r="A29" s="27" t="s">
        <v>477</v>
      </c>
      <c r="B29" s="63" t="s">
        <v>46</v>
      </c>
      <c r="C29" s="66" t="n">
        <f aca="false">P29</f>
        <v>24711.25</v>
      </c>
      <c r="D29" s="66" t="n">
        <f aca="false">AB29</f>
        <v>18535</v>
      </c>
      <c r="E29" s="67" t="n">
        <f aca="false">Contracts!E181</f>
        <v>7762.5</v>
      </c>
      <c r="F29" s="67" t="n">
        <f aca="false">Contracts!F181</f>
        <v>7468.75</v>
      </c>
      <c r="G29" s="67" t="n">
        <f aca="false">Contracts!G181</f>
        <v>10675</v>
      </c>
      <c r="H29" s="67" t="n">
        <f aca="false">Contracts!H181</f>
        <v>10281.25</v>
      </c>
      <c r="I29" s="67" t="n">
        <f aca="false">Contracts!I181</f>
        <v>12775</v>
      </c>
      <c r="J29" s="67" t="n">
        <f aca="false">Contracts!J181</f>
        <v>12298.75</v>
      </c>
      <c r="K29" s="67" t="n">
        <f aca="false">Contracts!K181</f>
        <v>16547.5</v>
      </c>
      <c r="L29" s="67" t="n">
        <f aca="false">Contracts!L181</f>
        <v>15936.25</v>
      </c>
      <c r="M29" s="67" t="n">
        <f aca="false">Contracts!M181</f>
        <v>15325</v>
      </c>
      <c r="N29" s="67" t="n">
        <f aca="false">Contracts!N181</f>
        <v>14713.75</v>
      </c>
      <c r="O29" s="67" t="n">
        <f aca="false">Contracts!O181</f>
        <v>25652.5</v>
      </c>
      <c r="P29" s="67" t="n">
        <f aca="false">Contracts!P181</f>
        <v>24711.25</v>
      </c>
      <c r="Q29" s="67" t="n">
        <f aca="false">Contracts!Q181</f>
        <v>26395</v>
      </c>
      <c r="R29" s="67" t="n">
        <f aca="false">Contracts!R181</f>
        <v>28135</v>
      </c>
      <c r="S29" s="67" t="n">
        <f aca="false">Contracts!S181</f>
        <v>27040</v>
      </c>
      <c r="T29" s="67" t="n">
        <f aca="false">Contracts!T181</f>
        <v>27695</v>
      </c>
      <c r="U29" s="67" t="n">
        <f aca="false">Contracts!U181</f>
        <v>26550</v>
      </c>
      <c r="V29" s="67" t="n">
        <f aca="false">Contracts!V181</f>
        <v>25405</v>
      </c>
      <c r="W29" s="67" t="n">
        <f aca="false">Contracts!W181</f>
        <v>24260</v>
      </c>
      <c r="X29" s="67" t="n">
        <f aca="false">Contracts!X181</f>
        <v>23115</v>
      </c>
      <c r="Y29" s="67" t="n">
        <f aca="false">Contracts!Y181</f>
        <v>21970</v>
      </c>
      <c r="Z29" s="67" t="n">
        <f aca="false">Contracts!Z181</f>
        <v>20825</v>
      </c>
      <c r="AA29" s="67" t="n">
        <f aca="false">Contracts!AA181</f>
        <v>19680</v>
      </c>
      <c r="AB29" s="67" t="n">
        <f aca="false">Contracts!AB181</f>
        <v>18535</v>
      </c>
    </row>
    <row r="30" customFormat="false" ht="15" hidden="false" customHeight="false" outlineLevel="0" collapsed="false">
      <c r="A30" s="27" t="s">
        <v>478</v>
      </c>
      <c r="B30" s="63" t="s">
        <v>49</v>
      </c>
      <c r="C30" s="66" t="n">
        <f aca="false">P30</f>
        <v>456.643495796048</v>
      </c>
      <c r="D30" s="66" t="n">
        <f aca="false">AB30</f>
        <v>6.3664629124105E-012</v>
      </c>
      <c r="E30" s="67" t="n">
        <f aca="false">Service_Desk!E30</f>
        <v>0</v>
      </c>
      <c r="F30" s="67" t="n">
        <f aca="false">Service_Desk!F30</f>
        <v>0</v>
      </c>
      <c r="G30" s="67" t="n">
        <f aca="false">Service_Desk!G30</f>
        <v>3235.73</v>
      </c>
      <c r="H30" s="67" t="n">
        <f aca="false">Service_Desk!H30</f>
        <v>4841.71</v>
      </c>
      <c r="I30" s="67" t="n">
        <f aca="false">Service_Desk!I30</f>
        <v>5441.04</v>
      </c>
      <c r="J30" s="67" t="n">
        <f aca="false">Service_Desk!J30</f>
        <v>3820.12</v>
      </c>
      <c r="K30" s="67" t="n">
        <f aca="false">Service_Desk!K30</f>
        <v>11314.01</v>
      </c>
      <c r="L30" s="67" t="n">
        <f aca="false">Service_Desk!L30</f>
        <v>9000.4</v>
      </c>
      <c r="M30" s="67" t="n">
        <f aca="false">Service_Desk!M30</f>
        <v>8319.27087221023</v>
      </c>
      <c r="N30" s="67" t="n">
        <f aca="false">Service_Desk!N30</f>
        <v>645.36675555263</v>
      </c>
      <c r="O30" s="67" t="n">
        <f aca="false">Service_Desk!O30</f>
        <v>9176.748081027</v>
      </c>
      <c r="P30" s="67" t="n">
        <f aca="false">Service_Desk!P30</f>
        <v>456.643495796048</v>
      </c>
      <c r="Q30" s="67" t="n">
        <f aca="false">Service_Desk!Q30</f>
        <v>1068.31825609856</v>
      </c>
      <c r="R30" s="67" t="n">
        <f aca="false">Service_Desk!R30</f>
        <v>1719.16870446924</v>
      </c>
      <c r="S30" s="67" t="n">
        <f aca="false">Service_Desk!S30</f>
        <v>6.3664629124105E-012</v>
      </c>
      <c r="T30" s="67" t="n">
        <f aca="false">Service_Desk!T30</f>
        <v>6.3664629124105E-012</v>
      </c>
      <c r="U30" s="67" t="n">
        <f aca="false">Service_Desk!U30</f>
        <v>6.3664629124105E-012</v>
      </c>
      <c r="V30" s="67" t="n">
        <f aca="false">Service_Desk!V30</f>
        <v>6.3664629124105E-012</v>
      </c>
      <c r="W30" s="67" t="n">
        <f aca="false">Service_Desk!W30</f>
        <v>6.3664629124105E-012</v>
      </c>
      <c r="X30" s="67" t="n">
        <f aca="false">Service_Desk!X30</f>
        <v>1408.71318834333</v>
      </c>
      <c r="Y30" s="67" t="n">
        <f aca="false">Service_Desk!Y30</f>
        <v>6.3664629124105E-012</v>
      </c>
      <c r="Z30" s="67" t="n">
        <f aca="false">Service_Desk!Z30</f>
        <v>6.3664629124105E-012</v>
      </c>
      <c r="AA30" s="67" t="n">
        <f aca="false">Service_Desk!AA30</f>
        <v>6.3664629124105E-012</v>
      </c>
      <c r="AB30" s="67" t="n">
        <f aca="false">Service_Desk!AB30</f>
        <v>6.3664629124105E-012</v>
      </c>
    </row>
    <row r="31" customFormat="false" ht="15" hidden="false" customHeight="false" outlineLevel="0" collapsed="false">
      <c r="A31" s="27" t="s">
        <v>479</v>
      </c>
      <c r="B31" s="63" t="s">
        <v>71</v>
      </c>
      <c r="C31" s="66" t="n">
        <f aca="false">P31</f>
        <v>133330.936142086</v>
      </c>
      <c r="D31" s="66" t="n">
        <f aca="false">AB31</f>
        <v>130216.037720833</v>
      </c>
      <c r="E31" s="67" t="n">
        <f aca="false">VAT!E14</f>
        <v>118791.59270246</v>
      </c>
      <c r="F31" s="67" t="n">
        <f aca="false">VAT!F14</f>
        <v>99127.7568197238</v>
      </c>
      <c r="G31" s="67" t="n">
        <f aca="false">VAT!G14</f>
        <v>82209.3355976218</v>
      </c>
      <c r="H31" s="67" t="n">
        <f aca="false">VAT!H14</f>
        <v>99728.6588705693</v>
      </c>
      <c r="I31" s="67" t="n">
        <f aca="false">VAT!I14</f>
        <v>107596.909958971</v>
      </c>
      <c r="J31" s="67" t="n">
        <f aca="false">VAT!J14</f>
        <v>83497.8917375698</v>
      </c>
      <c r="K31" s="67" t="n">
        <f aca="false">VAT!K14</f>
        <v>87264.6344923496</v>
      </c>
      <c r="L31" s="67" t="n">
        <f aca="false">VAT!L14</f>
        <v>137502.685037356</v>
      </c>
      <c r="M31" s="67" t="n">
        <f aca="false">VAT!M14</f>
        <v>90155.5411568492</v>
      </c>
      <c r="N31" s="67" t="n">
        <f aca="false">VAT!N14</f>
        <v>83863.3249473742</v>
      </c>
      <c r="O31" s="67" t="n">
        <f aca="false">VAT!O14</f>
        <v>119537.399645431</v>
      </c>
      <c r="P31" s="67" t="n">
        <f aca="false">VAT!P14</f>
        <v>133330.936142086</v>
      </c>
      <c r="Q31" s="67" t="n">
        <f aca="false">VAT!Q14</f>
        <v>124769.380046701</v>
      </c>
      <c r="R31" s="67" t="n">
        <f aca="false">VAT!R14</f>
        <v>124603.243411771</v>
      </c>
      <c r="S31" s="67" t="n">
        <f aca="false">VAT!S14</f>
        <v>114975.571617588</v>
      </c>
      <c r="T31" s="67" t="n">
        <f aca="false">VAT!T14</f>
        <v>118044.600483285</v>
      </c>
      <c r="U31" s="67" t="n">
        <f aca="false">VAT!U14</f>
        <v>118376.153820093</v>
      </c>
      <c r="V31" s="67" t="n">
        <f aca="false">VAT!V14</f>
        <v>115743.663393417</v>
      </c>
      <c r="W31" s="67" t="n">
        <f aca="false">VAT!W14</f>
        <v>121685.135183996</v>
      </c>
      <c r="X31" s="67" t="n">
        <f aca="false">VAT!X14</f>
        <v>182240.006894782</v>
      </c>
      <c r="Y31" s="67" t="n">
        <f aca="false">VAT!Y14</f>
        <v>110172.403193664</v>
      </c>
      <c r="Z31" s="67" t="n">
        <f aca="false">VAT!Z14</f>
        <v>110409.568242478</v>
      </c>
      <c r="AA31" s="67" t="n">
        <f aca="false">VAT!AA14</f>
        <v>126493.523882031</v>
      </c>
      <c r="AB31" s="67" t="n">
        <f aca="false">VAT!AB14</f>
        <v>130216.037720833</v>
      </c>
    </row>
    <row r="32" customFormat="false" ht="15" hidden="false" customHeight="false" outlineLevel="0" collapsed="false">
      <c r="A32" s="27" t="s">
        <v>480</v>
      </c>
      <c r="B32" s="63" t="s">
        <v>61</v>
      </c>
      <c r="C32" s="66" t="n">
        <f aca="false">P32</f>
        <v>50571.9763365308</v>
      </c>
      <c r="D32" s="66" t="n">
        <f aca="false">AB32</f>
        <v>52328.0133045203</v>
      </c>
      <c r="E32" s="67" t="n">
        <f aca="false">People!E175</f>
        <v>45315.69</v>
      </c>
      <c r="F32" s="67" t="n">
        <f aca="false">People!F175</f>
        <v>45932.9</v>
      </c>
      <c r="G32" s="67" t="n">
        <f aca="false">People!G175</f>
        <v>46187.05</v>
      </c>
      <c r="H32" s="67" t="n">
        <f aca="false">People!H175</f>
        <v>46962.7</v>
      </c>
      <c r="I32" s="67" t="n">
        <f aca="false">People!I175</f>
        <v>45041.5</v>
      </c>
      <c r="J32" s="67" t="n">
        <f aca="false">People!J175</f>
        <v>90165.95</v>
      </c>
      <c r="K32" s="67" t="n">
        <f aca="false">People!K175</f>
        <v>45140.12</v>
      </c>
      <c r="L32" s="67" t="n">
        <f aca="false">People!L175</f>
        <v>46692.32</v>
      </c>
      <c r="M32" s="67" t="n">
        <f aca="false">People!M175</f>
        <v>44543.769725</v>
      </c>
      <c r="N32" s="67" t="n">
        <f aca="false">People!N175</f>
        <v>45835.6079790555</v>
      </c>
      <c r="O32" s="67" t="n">
        <f aca="false">People!O175</f>
        <v>92428.0785953084</v>
      </c>
      <c r="P32" s="67" t="n">
        <f aca="false">People!P175</f>
        <v>50571.9763365308</v>
      </c>
      <c r="Q32" s="67" t="n">
        <f aca="false">People!Q175</f>
        <v>50905.0063087594</v>
      </c>
      <c r="R32" s="67" t="n">
        <f aca="false">People!R175</f>
        <v>51780.8207528235</v>
      </c>
      <c r="S32" s="67" t="n">
        <f aca="false">People!S175</f>
        <v>52234.5689111407</v>
      </c>
      <c r="T32" s="67" t="n">
        <f aca="false">People!T175</f>
        <v>51760.4605833699</v>
      </c>
      <c r="U32" s="67" t="n">
        <f aca="false">People!U175</f>
        <v>52370.1383387277</v>
      </c>
      <c r="V32" s="67" t="n">
        <f aca="false">People!V175</f>
        <v>104366.075813104</v>
      </c>
      <c r="W32" s="67" t="n">
        <f aca="false">People!W175</f>
        <v>52348.411165578</v>
      </c>
      <c r="X32" s="67" t="n">
        <f aca="false">People!X175</f>
        <v>52286.1497204457</v>
      </c>
      <c r="Y32" s="67" t="n">
        <f aca="false">People!Y175</f>
        <v>52197.4891054235</v>
      </c>
      <c r="Z32" s="67" t="n">
        <f aca="false">People!Z175</f>
        <v>52358.5480439026</v>
      </c>
      <c r="AA32" s="67" t="n">
        <f aca="false">People!AA175</f>
        <v>104003.933211167</v>
      </c>
      <c r="AB32" s="67" t="n">
        <f aca="false">People!AB175</f>
        <v>52328.0133045203</v>
      </c>
    </row>
    <row r="33" customFormat="false" ht="15" hidden="false" customHeight="false" outlineLevel="0" collapsed="false">
      <c r="A33" s="27" t="s">
        <v>481</v>
      </c>
      <c r="B33" s="63" t="s">
        <v>61</v>
      </c>
      <c r="C33" s="66" t="n">
        <f aca="false">P33</f>
        <v>22413.0810538424</v>
      </c>
      <c r="D33" s="66" t="n">
        <f aca="false">AB33</f>
        <v>23550.8943223379</v>
      </c>
      <c r="E33" s="67" t="n">
        <f aca="false">People!E178</f>
        <v>20355.69</v>
      </c>
      <c r="F33" s="67" t="n">
        <f aca="false">People!F178</f>
        <v>20648.52</v>
      </c>
      <c r="G33" s="67" t="n">
        <f aca="false">People!G178</f>
        <v>20834.62</v>
      </c>
      <c r="H33" s="67" t="n">
        <f aca="false">People!H178</f>
        <v>21215.21</v>
      </c>
      <c r="I33" s="67" t="n">
        <f aca="false">People!I178</f>
        <v>20426.49</v>
      </c>
      <c r="J33" s="67" t="n">
        <f aca="false">People!J178</f>
        <v>40607.39</v>
      </c>
      <c r="K33" s="67" t="n">
        <f aca="false">People!K178</f>
        <v>20243.89</v>
      </c>
      <c r="L33" s="67" t="n">
        <f aca="false">People!L178</f>
        <v>20916.9</v>
      </c>
      <c r="M33" s="67" t="n">
        <f aca="false">People!M178</f>
        <v>19986.6785183667</v>
      </c>
      <c r="N33" s="67" t="n">
        <f aca="false">People!N178</f>
        <v>20374.9352659695</v>
      </c>
      <c r="O33" s="67" t="n">
        <f aca="false">People!O178</f>
        <v>41156.1624022237</v>
      </c>
      <c r="P33" s="67" t="n">
        <f aca="false">People!P178</f>
        <v>22413.0810538424</v>
      </c>
      <c r="Q33" s="67" t="n">
        <f aca="false">People!Q178</f>
        <v>23121.6775173992</v>
      </c>
      <c r="R33" s="67" t="n">
        <f aca="false">People!R178</f>
        <v>23502.2658393531</v>
      </c>
      <c r="S33" s="67" t="n">
        <f aca="false">People!S178</f>
        <v>23618.1822186071</v>
      </c>
      <c r="T33" s="67" t="n">
        <f aca="false">People!T178</f>
        <v>23341.1699896136</v>
      </c>
      <c r="U33" s="67" t="n">
        <f aca="false">People!U178</f>
        <v>23607.2912648394</v>
      </c>
      <c r="V33" s="67" t="n">
        <f aca="false">People!V178</f>
        <v>46974.3328794763</v>
      </c>
      <c r="W33" s="67" t="n">
        <f aca="false">People!W178</f>
        <v>23559.303737466</v>
      </c>
      <c r="X33" s="67" t="n">
        <f aca="false">People!X178</f>
        <v>23532.758197984</v>
      </c>
      <c r="Y33" s="67" t="n">
        <f aca="false">People!Y178</f>
        <v>23494.3061697666</v>
      </c>
      <c r="Z33" s="67" t="n">
        <f aca="false">People!Z178</f>
        <v>23564.1334155824</v>
      </c>
      <c r="AA33" s="67" t="n">
        <f aca="false">People!AA178</f>
        <v>46845.9439239882</v>
      </c>
      <c r="AB33" s="67" t="n">
        <f aca="false">People!AB178</f>
        <v>23550.8943223379</v>
      </c>
    </row>
    <row r="34" customFormat="false" ht="15" hidden="false" customHeight="false" outlineLevel="0" collapsed="false">
      <c r="A34" s="27" t="s">
        <v>482</v>
      </c>
      <c r="B34" s="63" t="s">
        <v>75</v>
      </c>
      <c r="C34" s="66" t="n">
        <f aca="false">P34</f>
        <v>2625</v>
      </c>
      <c r="D34" s="66" t="n">
        <f aca="false">AB34</f>
        <v>2690.625</v>
      </c>
      <c r="E34" s="67" t="n">
        <f aca="false">Overheads!E30</f>
        <v>2625</v>
      </c>
      <c r="F34" s="67" t="n">
        <f aca="false">Overheads!F30</f>
        <v>2625</v>
      </c>
      <c r="G34" s="67" t="n">
        <f aca="false">Overheads!G30</f>
        <v>2625</v>
      </c>
      <c r="H34" s="67" t="n">
        <f aca="false">Overheads!H30</f>
        <v>2625</v>
      </c>
      <c r="I34" s="67" t="n">
        <f aca="false">Overheads!I30</f>
        <v>2625</v>
      </c>
      <c r="J34" s="67" t="n">
        <f aca="false">Overheads!J30</f>
        <v>2625</v>
      </c>
      <c r="K34" s="67" t="n">
        <f aca="false">Overheads!K30</f>
        <v>2625</v>
      </c>
      <c r="L34" s="67" t="n">
        <f aca="false">Overheads!L30</f>
        <v>2625</v>
      </c>
      <c r="M34" s="67" t="n">
        <f aca="false">Overheads!M30</f>
        <v>2625</v>
      </c>
      <c r="N34" s="67" t="n">
        <f aca="false">Overheads!N30</f>
        <v>2625</v>
      </c>
      <c r="O34" s="67" t="n">
        <f aca="false">Overheads!O30</f>
        <v>2625</v>
      </c>
      <c r="P34" s="67" t="n">
        <f aca="false">Overheads!P30</f>
        <v>2625</v>
      </c>
      <c r="Q34" s="67" t="n">
        <f aca="false">Overheads!Q30</f>
        <v>2690.625</v>
      </c>
      <c r="R34" s="67" t="n">
        <f aca="false">Overheads!R30</f>
        <v>2690.625</v>
      </c>
      <c r="S34" s="67" t="n">
        <f aca="false">Overheads!S30</f>
        <v>2690.625</v>
      </c>
      <c r="T34" s="67" t="n">
        <f aca="false">Overheads!T30</f>
        <v>2690.625</v>
      </c>
      <c r="U34" s="67" t="n">
        <f aca="false">Overheads!U30</f>
        <v>2690.625</v>
      </c>
      <c r="V34" s="67" t="n">
        <f aca="false">Overheads!V30</f>
        <v>2690.625</v>
      </c>
      <c r="W34" s="67" t="n">
        <f aca="false">Overheads!W30</f>
        <v>2690.625</v>
      </c>
      <c r="X34" s="67" t="n">
        <f aca="false">Overheads!X30</f>
        <v>2690.625</v>
      </c>
      <c r="Y34" s="67" t="n">
        <f aca="false">Overheads!Y30</f>
        <v>2690.625</v>
      </c>
      <c r="Z34" s="67" t="n">
        <f aca="false">Overheads!Z30</f>
        <v>2690.625</v>
      </c>
      <c r="AA34" s="67" t="n">
        <f aca="false">Overheads!AA30</f>
        <v>2690.625</v>
      </c>
      <c r="AB34" s="67" t="n">
        <f aca="false">Overheads!AB30</f>
        <v>2690.625</v>
      </c>
    </row>
    <row r="35" customFormat="false" ht="15" hidden="false" customHeight="false" outlineLevel="0" collapsed="false">
      <c r="A35" s="27" t="s">
        <v>483</v>
      </c>
      <c r="B35" s="63" t="s">
        <v>61</v>
      </c>
      <c r="C35" s="66" t="n">
        <f aca="false">P35</f>
        <v>968.64768</v>
      </c>
      <c r="D35" s="66" t="n">
        <f aca="false">AB35</f>
        <v>968.64768</v>
      </c>
      <c r="E35" s="67" t="n">
        <f aca="false">People!E171</f>
        <v>904.58775</v>
      </c>
      <c r="F35" s="67" t="n">
        <f aca="false">People!F171</f>
        <v>943.457625</v>
      </c>
      <c r="G35" s="67" t="n">
        <f aca="false">People!G171</f>
        <v>5747.544</v>
      </c>
      <c r="H35" s="67" t="n">
        <f aca="false">People!H171</f>
        <v>947.689875</v>
      </c>
      <c r="I35" s="67" t="n">
        <f aca="false">People!I171</f>
        <v>4789.5705</v>
      </c>
      <c r="J35" s="67" t="n">
        <f aca="false">People!J171</f>
        <v>1113.3045</v>
      </c>
      <c r="K35" s="67" t="n">
        <f aca="false">People!K171</f>
        <v>6640.92</v>
      </c>
      <c r="L35" s="67" t="n">
        <f aca="false">People!L171</f>
        <v>570.499875</v>
      </c>
      <c r="M35" s="67" t="n">
        <f aca="false">People!M171</f>
        <v>1166.33088</v>
      </c>
      <c r="N35" s="67" t="n">
        <f aca="false">People!N171</f>
        <v>1265.17248</v>
      </c>
      <c r="O35" s="67" t="n">
        <f aca="false">People!O171</f>
        <v>13779.30312</v>
      </c>
      <c r="P35" s="67" t="n">
        <f aca="false">People!P171</f>
        <v>968.64768</v>
      </c>
      <c r="Q35" s="67" t="n">
        <f aca="false">People!Q171</f>
        <v>4184.32608</v>
      </c>
      <c r="R35" s="67" t="n">
        <f aca="false">People!R171</f>
        <v>4367.53647</v>
      </c>
      <c r="S35" s="67" t="n">
        <f aca="false">People!S171</f>
        <v>1037.8368</v>
      </c>
      <c r="T35" s="67" t="n">
        <f aca="false">People!T171</f>
        <v>3244.9032</v>
      </c>
      <c r="U35" s="67" t="n">
        <f aca="false">People!U171</f>
        <v>988.416</v>
      </c>
      <c r="V35" s="67" t="n">
        <f aca="false">People!V171</f>
        <v>1107.02592</v>
      </c>
      <c r="W35" s="67" t="n">
        <f aca="false">People!W171</f>
        <v>909.34272</v>
      </c>
      <c r="X35" s="67" t="n">
        <f aca="false">People!X171</f>
        <v>593.0496</v>
      </c>
      <c r="Y35" s="67" t="n">
        <f aca="false">People!Y171</f>
        <v>1166.33088</v>
      </c>
      <c r="Z35" s="67" t="n">
        <f aca="false">People!Z171</f>
        <v>1265.17248</v>
      </c>
      <c r="AA35" s="67" t="n">
        <f aca="false">People!AA171</f>
        <v>1057.60512</v>
      </c>
      <c r="AB35" s="67" t="n">
        <f aca="false">People!AB171</f>
        <v>968.64768</v>
      </c>
    </row>
    <row r="36" customFormat="false" ht="15" hidden="false" customHeight="false" outlineLevel="0" collapsed="false">
      <c r="A36" s="27" t="s">
        <v>484</v>
      </c>
      <c r="B36" s="63" t="s">
        <v>61</v>
      </c>
      <c r="C36" s="66" t="n">
        <f aca="false">P36</f>
        <v>333601.017207415</v>
      </c>
      <c r="D36" s="66" t="n">
        <f aca="false">AB36</f>
        <v>331539.677603349</v>
      </c>
      <c r="E36" s="67" t="n">
        <f aca="false">People!E160</f>
        <v>340285.275</v>
      </c>
      <c r="F36" s="67" t="n">
        <f aca="false">People!F160</f>
        <v>359263.36875</v>
      </c>
      <c r="G36" s="67" t="n">
        <f aca="false">People!G160</f>
        <v>378342.525</v>
      </c>
      <c r="H36" s="67" t="n">
        <f aca="false">People!H160</f>
        <v>390723.7125</v>
      </c>
      <c r="I36" s="67" t="n">
        <f aca="false">People!I160</f>
        <v>407731.9125</v>
      </c>
      <c r="J36" s="67" t="n">
        <f aca="false">People!J160</f>
        <v>261704.4375</v>
      </c>
      <c r="K36" s="67" t="n">
        <f aca="false">People!K160</f>
        <v>265961.4375</v>
      </c>
      <c r="L36" s="67" t="n">
        <f aca="false">People!L160</f>
        <v>257447.4375</v>
      </c>
      <c r="M36" s="67" t="n">
        <f aca="false">People!M160</f>
        <v>271145.675625</v>
      </c>
      <c r="N36" s="67" t="n">
        <f aca="false">People!N160</f>
        <v>290052.814917708</v>
      </c>
      <c r="O36" s="67" t="n">
        <f aca="false">People!O160</f>
        <v>311133.020775443</v>
      </c>
      <c r="P36" s="67" t="n">
        <f aca="false">People!P160</f>
        <v>333601.017207415</v>
      </c>
      <c r="Q36" s="67" t="n">
        <f aca="false">People!Q160</f>
        <v>356440.508133602</v>
      </c>
      <c r="R36" s="67" t="n">
        <f aca="false">People!R160</f>
        <v>377465.591422894</v>
      </c>
      <c r="S36" s="67" t="n">
        <f aca="false">People!S160</f>
        <v>398657.817836778</v>
      </c>
      <c r="T36" s="67" t="n">
        <f aca="false">People!T160</f>
        <v>412709.973220281</v>
      </c>
      <c r="U36" s="67" t="n">
        <f aca="false">People!U160</f>
        <v>432256.967509294</v>
      </c>
      <c r="V36" s="67" t="n">
        <f aca="false">People!V160</f>
        <v>261128.700076852</v>
      </c>
      <c r="W36" s="67" t="n">
        <f aca="false">People!W160</f>
        <v>266070.395410009</v>
      </c>
      <c r="X36" s="67" t="n">
        <f aca="false">People!X160</f>
        <v>256188.286835029</v>
      </c>
      <c r="Y36" s="67" t="n">
        <f aca="false">People!Y160</f>
        <v>272246.761739883</v>
      </c>
      <c r="Z36" s="67" t="n">
        <f aca="false">People!Z160</f>
        <v>293863.971455216</v>
      </c>
      <c r="AA36" s="67" t="n">
        <f aca="false">People!AA160</f>
        <v>317334.083629139</v>
      </c>
      <c r="AB36" s="67" t="n">
        <f aca="false">People!AB160</f>
        <v>331539.677603349</v>
      </c>
    </row>
    <row r="37" customFormat="false" ht="15" hidden="false" customHeight="false" outlineLevel="0" collapsed="false">
      <c r="A37" s="27" t="s">
        <v>485</v>
      </c>
      <c r="B37" s="63" t="s">
        <v>61</v>
      </c>
      <c r="C37" s="66" t="n">
        <f aca="false">P37</f>
        <v>0</v>
      </c>
      <c r="D37" s="66" t="n">
        <f aca="false">AB37</f>
        <v>0</v>
      </c>
      <c r="E37" s="67" t="n">
        <f aca="false">People!E161</f>
        <v>13334.0625</v>
      </c>
      <c r="F37" s="67" t="n">
        <f aca="false">People!F161</f>
        <v>26889.84375</v>
      </c>
      <c r="G37" s="67" t="n">
        <f aca="false">People!G161</f>
        <v>40517.8125</v>
      </c>
      <c r="H37" s="67" t="n">
        <f aca="false">People!H161</f>
        <v>53975.625</v>
      </c>
      <c r="I37" s="67" t="n">
        <f aca="false">People!I161</f>
        <v>67263.28125</v>
      </c>
      <c r="J37" s="67" t="n">
        <f aca="false">People!J161</f>
        <v>80442.65625</v>
      </c>
      <c r="K37" s="67" t="n">
        <f aca="false">People!K161</f>
        <v>93745.78125</v>
      </c>
      <c r="L37" s="67" t="n">
        <f aca="false">People!L161</f>
        <v>107048.90625</v>
      </c>
      <c r="M37" s="67" t="n">
        <f aca="false">People!M161</f>
        <v>120220.2890625</v>
      </c>
      <c r="N37" s="67" t="n">
        <f aca="false">People!N161</f>
        <v>133725.388557292</v>
      </c>
      <c r="O37" s="67" t="n">
        <f aca="false">People!O161</f>
        <v>-13868.5564853516</v>
      </c>
      <c r="P37" s="67" t="n">
        <f aca="false">People!P161</f>
        <v>0</v>
      </c>
      <c r="Q37" s="67" t="n">
        <f aca="false">People!Q161</f>
        <v>15025.9808724916</v>
      </c>
      <c r="R37" s="67" t="n">
        <f aca="false">People!R161</f>
        <v>30043.8975077</v>
      </c>
      <c r="S37" s="67" t="n">
        <f aca="false">People!S161</f>
        <v>45181.2020890457</v>
      </c>
      <c r="T37" s="67" t="n">
        <f aca="false">People!T161</f>
        <v>60455.2840276357</v>
      </c>
      <c r="U37" s="67" t="n">
        <f aca="false">People!U161</f>
        <v>75726.3733159272</v>
      </c>
      <c r="V37" s="67" t="n">
        <f aca="false">People!V161</f>
        <v>91171.1627953895</v>
      </c>
      <c r="W37" s="67" t="n">
        <f aca="false">People!W161</f>
        <v>106613.960711505</v>
      </c>
      <c r="X37" s="67" t="n">
        <f aca="false">People!X161</f>
        <v>122054.755359911</v>
      </c>
      <c r="Y37" s="67" t="n">
        <f aca="false">People!Y161</f>
        <v>137495.596614578</v>
      </c>
      <c r="Z37" s="67" t="n">
        <f aca="false">People!Z161</f>
        <v>152936.460696959</v>
      </c>
      <c r="AA37" s="67" t="n">
        <f aca="false">People!AA161</f>
        <v>-15440.8632723178</v>
      </c>
      <c r="AB37" s="67" t="n">
        <f aca="false">People!AB161</f>
        <v>0</v>
      </c>
    </row>
    <row r="38" customFormat="false" ht="15" hidden="false" customHeight="false" outlineLevel="0" collapsed="false">
      <c r="A38" s="27" t="s">
        <v>486</v>
      </c>
      <c r="B38" s="63" t="s">
        <v>73</v>
      </c>
      <c r="C38" s="66" t="n">
        <f aca="false">P38</f>
        <v>-79569.1444262298</v>
      </c>
      <c r="D38" s="66" t="n">
        <f aca="false">AB38</f>
        <v>50851.4736552727</v>
      </c>
      <c r="E38" s="67" t="n">
        <f aca="false">Tax!E19</f>
        <v>111026.953930409</v>
      </c>
      <c r="F38" s="67" t="n">
        <f aca="false">Tax!F19</f>
        <v>119147.95816389</v>
      </c>
      <c r="G38" s="67" t="n">
        <f aca="false">Tax!G19</f>
        <v>131938.117430209</v>
      </c>
      <c r="H38" s="67" t="n">
        <f aca="false">Tax!H19</f>
        <v>147415.093859617</v>
      </c>
      <c r="I38" s="67" t="n">
        <f aca="false">Tax!I19</f>
        <v>158721.900624032</v>
      </c>
      <c r="J38" s="67" t="n">
        <f aca="false">Tax!J19</f>
        <v>53045.2658252359</v>
      </c>
      <c r="K38" s="67" t="n">
        <f aca="false">Tax!K19</f>
        <v>-8242.12458072729</v>
      </c>
      <c r="L38" s="67" t="n">
        <f aca="false">Tax!L19</f>
        <v>-419.643457813538</v>
      </c>
      <c r="M38" s="67" t="n">
        <f aca="false">Tax!M19</f>
        <v>-56186.3623468133</v>
      </c>
      <c r="N38" s="67" t="n">
        <f aca="false">Tax!N19</f>
        <v>-39806.7043579317</v>
      </c>
      <c r="O38" s="67" t="n">
        <f aca="false">Tax!O19</f>
        <v>-24635.9071617753</v>
      </c>
      <c r="P38" s="67" t="n">
        <f aca="false">Tax!P19</f>
        <v>-79569.1444262298</v>
      </c>
      <c r="Q38" s="67" t="n">
        <f aca="false">Tax!Q19</f>
        <v>-70531.0330796006</v>
      </c>
      <c r="R38" s="67" t="n">
        <f aca="false">Tax!R19</f>
        <v>-57647.5885743048</v>
      </c>
      <c r="S38" s="67" t="n">
        <f aca="false">Tax!S19</f>
        <v>-44701.0841638378</v>
      </c>
      <c r="T38" s="67" t="n">
        <f aca="false">Tax!T19</f>
        <v>-30161.8157632379</v>
      </c>
      <c r="U38" s="67" t="n">
        <f aca="false">Tax!U19</f>
        <v>-17803.8807036319</v>
      </c>
      <c r="V38" s="67" t="n">
        <f aca="false">Tax!V19</f>
        <v>-1123.85075703779</v>
      </c>
      <c r="W38" s="67" t="n">
        <f aca="false">Tax!W19</f>
        <v>-26804.2789838038</v>
      </c>
      <c r="X38" s="67" t="n">
        <f aca="false">Tax!X19</f>
        <v>-15375.5705984883</v>
      </c>
      <c r="Y38" s="67" t="n">
        <f aca="false">Tax!Y19</f>
        <v>40139.2810038359</v>
      </c>
      <c r="Z38" s="67" t="n">
        <f aca="false">Tax!Z19</f>
        <v>57724.9783634544</v>
      </c>
      <c r="AA38" s="67" t="n">
        <f aca="false">Tax!AA19</f>
        <v>74218.8743949476</v>
      </c>
      <c r="AB38" s="67" t="n">
        <f aca="false">Tax!AB19</f>
        <v>50851.4736552727</v>
      </c>
    </row>
    <row r="39" customFormat="false" ht="15" hidden="false" customHeight="false" outlineLevel="0" collapsed="false">
      <c r="A39" s="27" t="s">
        <v>487</v>
      </c>
      <c r="B39" s="63" t="s">
        <v>79</v>
      </c>
      <c r="C39" s="66" t="n">
        <f aca="false">P39</f>
        <v>0</v>
      </c>
      <c r="D39" s="66" t="n">
        <f aca="false">AB39</f>
        <v>0</v>
      </c>
      <c r="E39" s="67" t="n">
        <f aca="false">Financing!E29</f>
        <v>0</v>
      </c>
      <c r="F39" s="67" t="n">
        <f aca="false">Financing!F29</f>
        <v>0</v>
      </c>
      <c r="G39" s="67" t="n">
        <f aca="false">Financing!G29</f>
        <v>360000</v>
      </c>
      <c r="H39" s="67" t="n">
        <f aca="false">Financing!H29</f>
        <v>360000</v>
      </c>
      <c r="I39" s="67" t="n">
        <f aca="false">Financing!I29</f>
        <v>0</v>
      </c>
      <c r="J39" s="67" t="n">
        <f aca="false">Financing!J29</f>
        <v>0</v>
      </c>
      <c r="K39" s="67" t="n">
        <f aca="false">Financing!K29</f>
        <v>0</v>
      </c>
      <c r="L39" s="67" t="n">
        <f aca="false">Financing!L29</f>
        <v>0</v>
      </c>
      <c r="M39" s="67" t="n">
        <f aca="false">Financing!M29</f>
        <v>0</v>
      </c>
      <c r="N39" s="67" t="n">
        <f aca="false">Financing!N29</f>
        <v>0</v>
      </c>
      <c r="O39" s="67" t="n">
        <f aca="false">Financing!O29</f>
        <v>0</v>
      </c>
      <c r="P39" s="67" t="n">
        <f aca="false">Financing!P29</f>
        <v>0</v>
      </c>
      <c r="Q39" s="67" t="n">
        <f aca="false">Financing!Q29</f>
        <v>0</v>
      </c>
      <c r="R39" s="67" t="n">
        <f aca="false">Financing!R29</f>
        <v>0</v>
      </c>
      <c r="S39" s="67" t="n">
        <f aca="false">Financing!S29</f>
        <v>0</v>
      </c>
      <c r="T39" s="67" t="n">
        <f aca="false">Financing!T29</f>
        <v>0</v>
      </c>
      <c r="U39" s="67" t="n">
        <f aca="false">Financing!U29</f>
        <v>0</v>
      </c>
      <c r="V39" s="67" t="n">
        <f aca="false">Financing!V29</f>
        <v>0</v>
      </c>
      <c r="W39" s="67" t="n">
        <f aca="false">Financing!W29</f>
        <v>0</v>
      </c>
      <c r="X39" s="67" t="n">
        <f aca="false">Financing!X29</f>
        <v>0</v>
      </c>
      <c r="Y39" s="67" t="n">
        <f aca="false">Financing!Y29</f>
        <v>0</v>
      </c>
      <c r="Z39" s="67" t="n">
        <f aca="false">Financing!Z29</f>
        <v>0</v>
      </c>
      <c r="AA39" s="67" t="n">
        <f aca="false">Financing!AA29</f>
        <v>0</v>
      </c>
      <c r="AB39" s="67" t="n">
        <f aca="false">Financing!AB29</f>
        <v>0</v>
      </c>
    </row>
    <row r="40" customFormat="false" ht="15" hidden="false" customHeight="false" outlineLevel="0" collapsed="false">
      <c r="A40" s="27" t="s">
        <v>488</v>
      </c>
      <c r="B40" s="63" t="s">
        <v>79</v>
      </c>
      <c r="C40" s="66" t="n">
        <f aca="false">P40</f>
        <v>0</v>
      </c>
      <c r="D40" s="66" t="n">
        <f aca="false">AB40</f>
        <v>0</v>
      </c>
      <c r="E40" s="67" t="n">
        <f aca="false">Financing!E31</f>
        <v>0</v>
      </c>
      <c r="F40" s="67" t="n">
        <f aca="false">Financing!F31</f>
        <v>0</v>
      </c>
      <c r="G40" s="67" t="n">
        <f aca="false">Financing!G31</f>
        <v>0</v>
      </c>
      <c r="H40" s="67" t="n">
        <f aca="false">Financing!H31</f>
        <v>0</v>
      </c>
      <c r="I40" s="67" t="n">
        <f aca="false">Financing!I31</f>
        <v>100800</v>
      </c>
      <c r="J40" s="67" t="n">
        <f aca="false">Financing!J31</f>
        <v>0</v>
      </c>
      <c r="K40" s="67" t="n">
        <f aca="false">Financing!K31</f>
        <v>0</v>
      </c>
      <c r="L40" s="67" t="n">
        <f aca="false">Financing!L31</f>
        <v>0</v>
      </c>
      <c r="M40" s="67" t="n">
        <f aca="false">Financing!M31</f>
        <v>0</v>
      </c>
      <c r="N40" s="67" t="n">
        <f aca="false">Financing!N31</f>
        <v>0</v>
      </c>
      <c r="O40" s="67" t="n">
        <f aca="false">Financing!O31</f>
        <v>0</v>
      </c>
      <c r="P40" s="67" t="n">
        <f aca="false">Financing!P31</f>
        <v>0</v>
      </c>
      <c r="Q40" s="67" t="n">
        <f aca="false">Financing!Q31</f>
        <v>0</v>
      </c>
      <c r="R40" s="67" t="n">
        <f aca="false">Financing!R31</f>
        <v>0</v>
      </c>
      <c r="S40" s="67" t="n">
        <f aca="false">Financing!S31</f>
        <v>0</v>
      </c>
      <c r="T40" s="67" t="n">
        <f aca="false">Financing!T31</f>
        <v>0</v>
      </c>
      <c r="U40" s="67" t="n">
        <f aca="false">Financing!U31</f>
        <v>0</v>
      </c>
      <c r="V40" s="67" t="n">
        <f aca="false">Financing!V31</f>
        <v>0</v>
      </c>
      <c r="W40" s="67" t="n">
        <f aca="false">Financing!W31</f>
        <v>0</v>
      </c>
      <c r="X40" s="67" t="n">
        <f aca="false">Financing!X31</f>
        <v>0</v>
      </c>
      <c r="Y40" s="67" t="n">
        <f aca="false">Financing!Y31</f>
        <v>0</v>
      </c>
      <c r="Z40" s="67" t="n">
        <f aca="false">Financing!Z31</f>
        <v>0</v>
      </c>
      <c r="AA40" s="67" t="n">
        <f aca="false">Financing!AA31</f>
        <v>0</v>
      </c>
      <c r="AB40" s="67" t="n">
        <f aca="false">Financing!AB31</f>
        <v>0</v>
      </c>
    </row>
    <row r="41" customFormat="false" ht="15" hidden="false" customHeight="false" outlineLevel="0" collapsed="false">
      <c r="A41" s="27" t="s">
        <v>489</v>
      </c>
      <c r="B41" s="63" t="s">
        <v>51</v>
      </c>
      <c r="C41" s="66" t="n">
        <f aca="false">P41</f>
        <v>0</v>
      </c>
      <c r="D41" s="66" t="n">
        <f aca="false">AB41</f>
        <v>0</v>
      </c>
      <c r="E41" s="67" t="n">
        <f aca="false">Projects!E159</f>
        <v>0</v>
      </c>
      <c r="F41" s="67" t="n">
        <f aca="false">Projects!F159</f>
        <v>0</v>
      </c>
      <c r="G41" s="67" t="n">
        <f aca="false">Projects!G159</f>
        <v>0</v>
      </c>
      <c r="H41" s="67" t="n">
        <f aca="false">Projects!H159</f>
        <v>0</v>
      </c>
      <c r="I41" s="67" t="n">
        <f aca="false">Projects!I159</f>
        <v>0</v>
      </c>
      <c r="J41" s="67" t="n">
        <f aca="false">Projects!J159</f>
        <v>10147.14</v>
      </c>
      <c r="K41" s="67" t="n">
        <f aca="false">Projects!K159</f>
        <v>5415.71</v>
      </c>
      <c r="L41" s="67" t="n">
        <f aca="false">Projects!L159</f>
        <v>2507.14</v>
      </c>
      <c r="M41" s="67" t="n">
        <f aca="false">Projects!M159</f>
        <v>1671.42857142855</v>
      </c>
      <c r="N41" s="67" t="n">
        <f aca="false">Projects!N159</f>
        <v>835.714285714294</v>
      </c>
      <c r="O41" s="67" t="n">
        <f aca="false">Projects!O159</f>
        <v>0</v>
      </c>
      <c r="P41" s="67" t="n">
        <f aca="false">Projects!P159</f>
        <v>0</v>
      </c>
      <c r="Q41" s="67" t="n">
        <f aca="false">Projects!Q159</f>
        <v>0</v>
      </c>
      <c r="R41" s="67" t="n">
        <f aca="false">Projects!R159</f>
        <v>0</v>
      </c>
      <c r="S41" s="67" t="n">
        <f aca="false">Projects!S159</f>
        <v>0</v>
      </c>
      <c r="T41" s="67" t="n">
        <f aca="false">Projects!T159</f>
        <v>0</v>
      </c>
      <c r="U41" s="67" t="n">
        <f aca="false">Projects!U159</f>
        <v>0</v>
      </c>
      <c r="V41" s="67" t="n">
        <f aca="false">Projects!V159</f>
        <v>0</v>
      </c>
      <c r="W41" s="67" t="n">
        <f aca="false">Projects!W159</f>
        <v>0</v>
      </c>
      <c r="X41" s="67" t="n">
        <f aca="false">Projects!X159</f>
        <v>0</v>
      </c>
      <c r="Y41" s="67" t="n">
        <f aca="false">Projects!Y159</f>
        <v>0</v>
      </c>
      <c r="Z41" s="67" t="n">
        <f aca="false">Projects!Z159</f>
        <v>0</v>
      </c>
      <c r="AA41" s="67" t="n">
        <f aca="false">Projects!AA159</f>
        <v>0</v>
      </c>
      <c r="AB41" s="67" t="n">
        <f aca="false">Projects!AB159</f>
        <v>0</v>
      </c>
    </row>
    <row r="42" customFormat="false" ht="15" hidden="false" customHeight="false" outlineLevel="0" collapsed="false">
      <c r="A42" s="27" t="s">
        <v>490</v>
      </c>
      <c r="B42" s="63" t="s">
        <v>79</v>
      </c>
      <c r="C42" s="66" t="n">
        <f aca="false">P42</f>
        <v>900000.04</v>
      </c>
      <c r="D42" s="66" t="n">
        <f aca="false">AB42</f>
        <v>500000.08</v>
      </c>
      <c r="E42" s="67" t="n">
        <f aca="false">Financing!E12</f>
        <v>1266666.67</v>
      </c>
      <c r="F42" s="67" t="n">
        <f aca="false">Financing!F12</f>
        <v>1233333.34</v>
      </c>
      <c r="G42" s="67" t="n">
        <f aca="false">Financing!G12</f>
        <v>1200000.01</v>
      </c>
      <c r="H42" s="67" t="n">
        <f aca="false">Financing!H12</f>
        <v>1166666.68</v>
      </c>
      <c r="I42" s="67" t="n">
        <f aca="false">Financing!I12</f>
        <v>1133333.35</v>
      </c>
      <c r="J42" s="67" t="n">
        <f aca="false">Financing!J12</f>
        <v>1100000.02</v>
      </c>
      <c r="K42" s="67" t="n">
        <f aca="false">Financing!K12</f>
        <v>1066666.69</v>
      </c>
      <c r="L42" s="67" t="n">
        <f aca="false">Financing!L12</f>
        <v>1033333.36</v>
      </c>
      <c r="M42" s="67" t="n">
        <f aca="false">Financing!M12</f>
        <v>1000000.03</v>
      </c>
      <c r="N42" s="67" t="n">
        <f aca="false">Financing!N12</f>
        <v>966666.7</v>
      </c>
      <c r="O42" s="67" t="n">
        <f aca="false">Financing!O12</f>
        <v>933333.37</v>
      </c>
      <c r="P42" s="67" t="n">
        <f aca="false">Financing!P12</f>
        <v>900000.04</v>
      </c>
      <c r="Q42" s="67" t="n">
        <f aca="false">Financing!Q12</f>
        <v>866666.71</v>
      </c>
      <c r="R42" s="67" t="n">
        <f aca="false">Financing!R12</f>
        <v>833333.38</v>
      </c>
      <c r="S42" s="67" t="n">
        <f aca="false">Financing!S12</f>
        <v>800000.05</v>
      </c>
      <c r="T42" s="67" t="n">
        <f aca="false">Financing!T12</f>
        <v>766666.72</v>
      </c>
      <c r="U42" s="67" t="n">
        <f aca="false">Financing!U12</f>
        <v>733333.39</v>
      </c>
      <c r="V42" s="67" t="n">
        <f aca="false">Financing!V12</f>
        <v>700000.06</v>
      </c>
      <c r="W42" s="67" t="n">
        <f aca="false">Financing!W12</f>
        <v>666666.73</v>
      </c>
      <c r="X42" s="67" t="n">
        <f aca="false">Financing!X12</f>
        <v>633333.4</v>
      </c>
      <c r="Y42" s="67" t="n">
        <f aca="false">Financing!Y12</f>
        <v>600000.07</v>
      </c>
      <c r="Z42" s="67" t="n">
        <f aca="false">Financing!Z12</f>
        <v>566666.74</v>
      </c>
      <c r="AA42" s="67" t="n">
        <f aca="false">Financing!AA12</f>
        <v>533333.41</v>
      </c>
      <c r="AB42" s="67" t="n">
        <f aca="false">Financing!AB12</f>
        <v>500000.08</v>
      </c>
    </row>
    <row r="43" customFormat="false" ht="15" hidden="false" customHeight="false" outlineLevel="0" collapsed="false">
      <c r="A43" s="59" t="s">
        <v>491</v>
      </c>
      <c r="B43" s="60"/>
      <c r="C43" s="61" t="n">
        <f aca="false">P43</f>
        <v>1936967.90930046</v>
      </c>
      <c r="D43" s="61" t="n">
        <f aca="false">AB43</f>
        <v>1675405.97299722</v>
      </c>
      <c r="E43" s="61" t="n">
        <f aca="false">E23+E24+E25+E26+E27+E28+E29+E30+E31+E32+E33+E34+E35+E36+E37+E38+E39+E40+E41+E42</f>
        <v>2836915.52895463</v>
      </c>
      <c r="F43" s="61" t="n">
        <f aca="false">F23+F24+F25+F26+F27+F28+F29+F30+F31+F32+F33+F34+F35+F36+F37+F38+F39+F40+F41+F42</f>
        <v>2622725.24354797</v>
      </c>
      <c r="G43" s="61" t="n">
        <f aca="false">G23+G24+G25+G26+G27+G28+G29+G30+G31+G32+G33+G34+G35+G36+G37+G38+G39+G40+G41+G42</f>
        <v>3072668.4111781</v>
      </c>
      <c r="H43" s="61" t="n">
        <f aca="false">H23+H24+H25+H26+H27+H28+H29+H30+H31+H32+H33+H34+H35+H36+H37+H38+H39+H40+H41+H42</f>
        <v>2997572.85767223</v>
      </c>
      <c r="I43" s="61" t="n">
        <f aca="false">I23+I24+I25+I26+I27+I28+I29+I30+I31+I32+I33+I34+I35+I36+I37+I38+I39+I40+I41+I42</f>
        <v>2726711.76689057</v>
      </c>
      <c r="J43" s="61" t="n">
        <f aca="false">J23+J24+J25+J26+J27+J28+J29+J30+J31+J32+J33+J34+J35+J36+J37+J38+J39+J40+J41+J42</f>
        <v>2475700.76507127</v>
      </c>
      <c r="K43" s="61" t="n">
        <f aca="false">K23+K24+K25+K26+K27+K28+K29+K30+K31+K32+K33+K34+K35+K36+K37+K38+K39+K40+K41+K42</f>
        <v>2215487.14487167</v>
      </c>
      <c r="L43" s="61" t="n">
        <f aca="false">L23+L24+L25+L26+L27+L28+L29+L30+L31+L32+L33+L34+L35+L36+L37+L38+L39+L40+L41+L42</f>
        <v>2077237.29723757</v>
      </c>
      <c r="M43" s="61" t="n">
        <f aca="false">M23+M24+M25+M26+M27+M28+M29+M30+M31+M32+M33+M34+M35+M36+M37+M38+M39+M40+M41+M42</f>
        <v>2215957.02726556</v>
      </c>
      <c r="N43" s="61" t="n">
        <f aca="false">N23+N24+N25+N26+N27+N28+N29+N30+N31+N32+N33+N34+N35+N36+N37+N38+N39+N40+N41+N42</f>
        <v>2186070.1658824</v>
      </c>
      <c r="O43" s="61" t="n">
        <f aca="false">O23+O24+O25+O26+O27+O28+O29+O30+O31+O32+O33+O34+O35+O36+O37+O38+O39+O40+O41+O42</f>
        <v>2091007.27973803</v>
      </c>
      <c r="P43" s="61" t="n">
        <f aca="false">P23+P24+P25+P26+P27+P28+P29+P30+P31+P32+P33+P34+P35+P36+P37+P38+P39+P40+P41+P42</f>
        <v>1936967.90930046</v>
      </c>
      <c r="Q43" s="61" t="n">
        <f aca="false">Q23+Q24+Q25+Q26+Q27+Q28+Q29+Q30+Q31+Q32+Q33+Q34+Q35+Q36+Q37+Q38+Q39+Q40+Q41+Q42</f>
        <v>2350970.45969839</v>
      </c>
      <c r="R43" s="61" t="n">
        <f aca="false">R23+R24+R25+R26+R27+R28+R29+R30+R31+R32+R33+R34+R35+R36+R37+R38+R39+R40+R41+R42</f>
        <v>2148895.4947691</v>
      </c>
      <c r="S43" s="61" t="n">
        <f aca="false">S23+S24+S25+S26+S27+S28+S29+S30+S31+S32+S33+S34+S35+S36+S37+S38+S39+S40+S41+S42</f>
        <v>2184613.68342199</v>
      </c>
      <c r="T43" s="61" t="n">
        <f aca="false">T23+T24+T25+T26+T27+T28+T29+T30+T31+T32+T33+T34+T35+T36+T37+T38+T39+T40+T41+T42</f>
        <v>2125927.38599201</v>
      </c>
      <c r="U43" s="61" t="n">
        <f aca="false">U23+U24+U25+U26+U27+U28+U29+U30+U31+U32+U33+U34+U35+U36+U37+U38+U39+U40+U41+U42</f>
        <v>2131050.00205829</v>
      </c>
      <c r="V43" s="61" t="n">
        <f aca="false">V23+V24+V25+V26+V27+V28+V29+V30+V31+V32+V33+V34+V35+V36+V37+V38+V39+V40+V41+V42</f>
        <v>2064148.53978427</v>
      </c>
      <c r="W43" s="61" t="n">
        <f aca="false">W23+W24+W25+W26+W27+W28+W29+W30+W31+W32+W33+W34+W35+W36+W37+W38+W39+W40+W41+W42</f>
        <v>1828743.72820852</v>
      </c>
      <c r="X43" s="61" t="n">
        <f aca="false">X23+X24+X25+X26+X27+X28+X29+X30+X31+X32+X33+X34+X35+X36+X37+X38+X39+X40+X41+X42</f>
        <v>1733426.2805276</v>
      </c>
      <c r="Y43" s="61" t="n">
        <f aca="false">Y23+Y24+Y25+Y26+Y27+Y28+Y29+Y30+Y31+Y32+Y33+Y34+Y35+Y36+Y37+Y38+Y39+Y40+Y41+Y42</f>
        <v>1977742.71162474</v>
      </c>
      <c r="Z43" s="61" t="n">
        <f aca="false">Z23+Z24+Z25+Z26+Z27+Z28+Z29+Z30+Z31+Z32+Z33+Z34+Z35+Z36+Z37+Z38+Z39+Z40+Z41+Z42</f>
        <v>1951123.28935013</v>
      </c>
      <c r="AA43" s="61" t="n">
        <f aca="false">AA23+AA24+AA25+AA26+AA27+AA28+AA29+AA30+AA31+AA32+AA33+AA34+AA35+AA36+AA37+AA38+AA39+AA40+AA41+AA42</f>
        <v>1779911.25766689</v>
      </c>
      <c r="AB43" s="61" t="n">
        <f aca="false">AB23+AB24+AB25+AB26+AB27+AB28+AB29+AB30+AB31+AB32+AB33+AB34+AB35+AB36+AB37+AB38+AB39+AB40+AB41+AB42</f>
        <v>1675405.97299722</v>
      </c>
    </row>
    <row r="44" customFormat="false" ht="15" hidden="false" customHeight="false" outlineLevel="0" collapsed="false">
      <c r="A44" s="21" t="s">
        <v>492</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row>
    <row r="45" customFormat="false" ht="15" hidden="false" customHeight="false" outlineLevel="0" collapsed="false">
      <c r="A45" s="27" t="s">
        <v>493</v>
      </c>
      <c r="B45" s="63" t="s">
        <v>79</v>
      </c>
      <c r="C45" s="66" t="n">
        <f aca="false">P45</f>
        <v>50000</v>
      </c>
      <c r="D45" s="66" t="n">
        <f aca="false">AB45</f>
        <v>50000</v>
      </c>
      <c r="E45" s="67" t="n">
        <f aca="false">Financing!E32</f>
        <v>50000</v>
      </c>
      <c r="F45" s="67" t="n">
        <f aca="false">Financing!F32</f>
        <v>50000</v>
      </c>
      <c r="G45" s="67" t="n">
        <f aca="false">Financing!G32</f>
        <v>50000</v>
      </c>
      <c r="H45" s="67" t="n">
        <f aca="false">Financing!H32</f>
        <v>50000</v>
      </c>
      <c r="I45" s="67" t="n">
        <f aca="false">Financing!I32</f>
        <v>50000</v>
      </c>
      <c r="J45" s="67" t="n">
        <f aca="false">Financing!J32</f>
        <v>50000</v>
      </c>
      <c r="K45" s="67" t="n">
        <f aca="false">Financing!K32</f>
        <v>50000</v>
      </c>
      <c r="L45" s="67" t="n">
        <f aca="false">Financing!L32</f>
        <v>50000</v>
      </c>
      <c r="M45" s="67" t="n">
        <f aca="false">Financing!M32</f>
        <v>50000</v>
      </c>
      <c r="N45" s="67" t="n">
        <f aca="false">Financing!N32</f>
        <v>50000</v>
      </c>
      <c r="O45" s="67" t="n">
        <f aca="false">Financing!O32</f>
        <v>50000</v>
      </c>
      <c r="P45" s="67" t="n">
        <f aca="false">Financing!P32</f>
        <v>50000</v>
      </c>
      <c r="Q45" s="67" t="n">
        <f aca="false">Financing!Q32</f>
        <v>50000</v>
      </c>
      <c r="R45" s="67" t="n">
        <f aca="false">Financing!R32</f>
        <v>50000</v>
      </c>
      <c r="S45" s="67" t="n">
        <f aca="false">Financing!S32</f>
        <v>50000</v>
      </c>
      <c r="T45" s="67" t="n">
        <f aca="false">Financing!T32</f>
        <v>50000</v>
      </c>
      <c r="U45" s="67" t="n">
        <f aca="false">Financing!U32</f>
        <v>50000</v>
      </c>
      <c r="V45" s="67" t="n">
        <f aca="false">Financing!V32</f>
        <v>50000</v>
      </c>
      <c r="W45" s="67" t="n">
        <f aca="false">Financing!W32</f>
        <v>50000</v>
      </c>
      <c r="X45" s="67" t="n">
        <f aca="false">Financing!X32</f>
        <v>50000</v>
      </c>
      <c r="Y45" s="67" t="n">
        <f aca="false">Financing!Y32</f>
        <v>50000</v>
      </c>
      <c r="Z45" s="67" t="n">
        <f aca="false">Financing!Z32</f>
        <v>50000</v>
      </c>
      <c r="AA45" s="67" t="n">
        <f aca="false">Financing!AA32</f>
        <v>50000</v>
      </c>
      <c r="AB45" s="67" t="n">
        <f aca="false">Financing!AB32</f>
        <v>50000</v>
      </c>
    </row>
    <row r="46" customFormat="false" ht="15" hidden="false" customHeight="false" outlineLevel="0" collapsed="false">
      <c r="A46" s="27" t="s">
        <v>494</v>
      </c>
      <c r="B46" s="63" t="s">
        <v>79</v>
      </c>
      <c r="C46" s="66" t="n">
        <f aca="false">P46</f>
        <v>10000</v>
      </c>
      <c r="D46" s="66" t="n">
        <f aca="false">AB46</f>
        <v>10000</v>
      </c>
      <c r="E46" s="67" t="n">
        <f aca="false">Financing!E33</f>
        <v>10000</v>
      </c>
      <c r="F46" s="67" t="n">
        <f aca="false">Financing!F33</f>
        <v>10000</v>
      </c>
      <c r="G46" s="67" t="n">
        <f aca="false">Financing!G33</f>
        <v>10000</v>
      </c>
      <c r="H46" s="67" t="n">
        <f aca="false">Financing!H33</f>
        <v>10000</v>
      </c>
      <c r="I46" s="67" t="n">
        <f aca="false">Financing!I33</f>
        <v>10000</v>
      </c>
      <c r="J46" s="67" t="n">
        <f aca="false">Financing!J33</f>
        <v>10000</v>
      </c>
      <c r="K46" s="67" t="n">
        <f aca="false">Financing!K33</f>
        <v>10000</v>
      </c>
      <c r="L46" s="67" t="n">
        <f aca="false">Financing!L33</f>
        <v>10000</v>
      </c>
      <c r="M46" s="67" t="n">
        <f aca="false">Financing!M33</f>
        <v>10000</v>
      </c>
      <c r="N46" s="67" t="n">
        <f aca="false">Financing!N33</f>
        <v>10000</v>
      </c>
      <c r="O46" s="67" t="n">
        <f aca="false">Financing!O33</f>
        <v>10000</v>
      </c>
      <c r="P46" s="67" t="n">
        <f aca="false">Financing!P33</f>
        <v>10000</v>
      </c>
      <c r="Q46" s="67" t="n">
        <f aca="false">Financing!Q33</f>
        <v>10000</v>
      </c>
      <c r="R46" s="67" t="n">
        <f aca="false">Financing!R33</f>
        <v>10000</v>
      </c>
      <c r="S46" s="67" t="n">
        <f aca="false">Financing!S33</f>
        <v>10000</v>
      </c>
      <c r="T46" s="67" t="n">
        <f aca="false">Financing!T33</f>
        <v>10000</v>
      </c>
      <c r="U46" s="67" t="n">
        <f aca="false">Financing!U33</f>
        <v>10000</v>
      </c>
      <c r="V46" s="67" t="n">
        <f aca="false">Financing!V33</f>
        <v>10000</v>
      </c>
      <c r="W46" s="67" t="n">
        <f aca="false">Financing!W33</f>
        <v>10000</v>
      </c>
      <c r="X46" s="67" t="n">
        <f aca="false">Financing!X33</f>
        <v>10000</v>
      </c>
      <c r="Y46" s="67" t="n">
        <f aca="false">Financing!Y33</f>
        <v>10000</v>
      </c>
      <c r="Z46" s="67" t="n">
        <f aca="false">Financing!Z33</f>
        <v>10000</v>
      </c>
      <c r="AA46" s="67" t="n">
        <f aca="false">Financing!AA33</f>
        <v>10000</v>
      </c>
      <c r="AB46" s="67" t="n">
        <f aca="false">Financing!AB33</f>
        <v>10000</v>
      </c>
    </row>
    <row r="47" customFormat="false" ht="15" hidden="false" customHeight="false" outlineLevel="0" collapsed="false">
      <c r="A47" s="27" t="s">
        <v>495</v>
      </c>
      <c r="B47" s="63"/>
      <c r="E47" s="67" t="n">
        <f aca="false">Inputs_Actuals!$C$314</f>
        <v>1221984.94</v>
      </c>
      <c r="F47" s="76" t="n">
        <f aca="false">E50</f>
        <v>1248674.54564783</v>
      </c>
      <c r="G47" s="76" t="n">
        <f aca="false">F50</f>
        <v>1283687.49385509</v>
      </c>
      <c r="H47" s="76" t="n">
        <f aca="false">G50</f>
        <v>973288.355400077</v>
      </c>
      <c r="I47" s="76" t="n">
        <f aca="false">H50</f>
        <v>1033308.82496779</v>
      </c>
      <c r="J47" s="76" t="n">
        <f aca="false">I50</f>
        <v>1077157.17315173</v>
      </c>
      <c r="K47" s="76" t="n">
        <f aca="false">J50</f>
        <v>1077453.16600518</v>
      </c>
      <c r="L47" s="76" t="n">
        <f aca="false">K50</f>
        <v>1123203.28150401</v>
      </c>
      <c r="M47" s="76" t="n">
        <f aca="false">L50</f>
        <v>1153539.24488311</v>
      </c>
      <c r="N47" s="76" t="n">
        <f aca="false">M50</f>
        <v>1220698.8035209</v>
      </c>
      <c r="O47" s="76" t="n">
        <f aca="false">N50</f>
        <v>1284219.91620948</v>
      </c>
      <c r="P47" s="76" t="n">
        <f aca="false">O50</f>
        <v>1343053.00777507</v>
      </c>
      <c r="Q47" s="76" t="n">
        <f aca="false">P50</f>
        <v>1413444.84881047</v>
      </c>
      <c r="R47" s="76" t="n">
        <f aca="false">Q50</f>
        <v>1458448.33411323</v>
      </c>
      <c r="S47" s="76" t="n">
        <f aca="false">R50</f>
        <v>1511633.83578893</v>
      </c>
      <c r="T47" s="76" t="n">
        <f aca="false">S50</f>
        <v>1565079.66168856</v>
      </c>
      <c r="U47" s="76" t="n">
        <f aca="false">T50</f>
        <v>1625100.74406026</v>
      </c>
      <c r="V47" s="76" t="n">
        <f aca="false">U50</f>
        <v>1676116.83494735</v>
      </c>
      <c r="W47" s="76" t="n">
        <f aca="false">V50</f>
        <v>1744975.4201115</v>
      </c>
      <c r="X47" s="76" t="n">
        <f aca="false">W50</f>
        <v>1808013.53167772</v>
      </c>
      <c r="Y47" s="76" t="n">
        <f aca="false">X50</f>
        <v>1855193.58424274</v>
      </c>
      <c r="Z47" s="76" t="n">
        <f aca="false">Y50</f>
        <v>1924944.71631821</v>
      </c>
      <c r="AA47" s="76" t="n">
        <f aca="false">Z50</f>
        <v>1997542.08234125</v>
      </c>
      <c r="AB47" s="76" t="n">
        <f aca="false">AA50</f>
        <v>2065632.26852254</v>
      </c>
    </row>
    <row r="48" customFormat="false" ht="15" hidden="false" customHeight="false" outlineLevel="0" collapsed="false">
      <c r="A48" s="27" t="s">
        <v>496</v>
      </c>
      <c r="B48" s="63" t="s">
        <v>30</v>
      </c>
      <c r="C48" s="66" t="n">
        <f aca="false">SUM(E48:P48)</f>
        <v>551459.908810474</v>
      </c>
      <c r="D48" s="66" t="n">
        <f aca="false">SUM(Q48:AB48)</f>
        <v>724774.183212173</v>
      </c>
      <c r="E48" s="67" t="n">
        <f aca="false">PL!E54</f>
        <v>26689.6056478258</v>
      </c>
      <c r="F48" s="67" t="n">
        <f aca="false">PL!F54</f>
        <v>35012.9482072617</v>
      </c>
      <c r="G48" s="67" t="n">
        <f aca="false">PL!G54</f>
        <v>49600.8615449897</v>
      </c>
      <c r="H48" s="67" t="n">
        <f aca="false">PL!H54</f>
        <v>60020.4695677077</v>
      </c>
      <c r="I48" s="67" t="n">
        <f aca="false">PL!I54</f>
        <v>43848.3481839489</v>
      </c>
      <c r="J48" s="67" t="n">
        <f aca="false">PL!J54</f>
        <v>295.992853449412</v>
      </c>
      <c r="K48" s="67" t="n">
        <f aca="false">PL!K54</f>
        <v>45750.1154988257</v>
      </c>
      <c r="L48" s="67" t="n">
        <f aca="false">PL!L54</f>
        <v>30335.9633791045</v>
      </c>
      <c r="M48" s="67" t="n">
        <f aca="false">PL!M54</f>
        <v>67159.5586377812</v>
      </c>
      <c r="N48" s="67" t="n">
        <f aca="false">PL!N54</f>
        <v>63521.1126885897</v>
      </c>
      <c r="O48" s="67" t="n">
        <f aca="false">PL!O54</f>
        <v>58833.0915655824</v>
      </c>
      <c r="P48" s="67" t="n">
        <f aca="false">PL!P54</f>
        <v>70391.8410354078</v>
      </c>
      <c r="Q48" s="67" t="n">
        <f aca="false">PL!Q54</f>
        <v>45003.4853027516</v>
      </c>
      <c r="R48" s="67" t="n">
        <f aca="false">PL!R54</f>
        <v>53185.5016757082</v>
      </c>
      <c r="S48" s="67" t="n">
        <f aca="false">PL!S54</f>
        <v>53445.8258996202</v>
      </c>
      <c r="T48" s="67" t="n">
        <f aca="false">PL!T54</f>
        <v>60021.0823717071</v>
      </c>
      <c r="U48" s="67" t="n">
        <f aca="false">PL!U54</f>
        <v>51016.0908870916</v>
      </c>
      <c r="V48" s="67" t="n">
        <f aca="false">PL!V54</f>
        <v>68858.5851641448</v>
      </c>
      <c r="W48" s="67" t="n">
        <f aca="false">PL!W54</f>
        <v>63038.1115662214</v>
      </c>
      <c r="X48" s="67" t="n">
        <f aca="false">PL!X54</f>
        <v>47180.05256502</v>
      </c>
      <c r="Y48" s="67" t="n">
        <f aca="false">PL!Y54</f>
        <v>69751.1320754651</v>
      </c>
      <c r="Z48" s="67" t="n">
        <f aca="false">PL!Z54</f>
        <v>72597.3660230405</v>
      </c>
      <c r="AA48" s="67" t="n">
        <f aca="false">PL!AA54</f>
        <v>68090.1861812928</v>
      </c>
      <c r="AB48" s="67" t="n">
        <f aca="false">PL!AB54</f>
        <v>72586.7635001101</v>
      </c>
    </row>
    <row r="49" customFormat="false" ht="15" hidden="false" customHeight="false" outlineLevel="0" collapsed="false">
      <c r="A49" s="27" t="s">
        <v>497</v>
      </c>
      <c r="B49" s="63" t="s">
        <v>79</v>
      </c>
      <c r="C49" s="66" t="n">
        <f aca="false">SUM(E49:P49)</f>
        <v>-360000</v>
      </c>
      <c r="D49" s="66" t="n">
        <f aca="false">SUM(Q49:AB49)</f>
        <v>0</v>
      </c>
      <c r="E49" s="67" t="n">
        <f aca="false">-Financing!E26</f>
        <v>-0</v>
      </c>
      <c r="F49" s="67" t="n">
        <f aca="false">-Financing!F26</f>
        <v>-0</v>
      </c>
      <c r="G49" s="67" t="n">
        <f aca="false">-Financing!G26</f>
        <v>-360000</v>
      </c>
      <c r="H49" s="67" t="n">
        <f aca="false">-Financing!H26</f>
        <v>-0</v>
      </c>
      <c r="I49" s="67" t="n">
        <f aca="false">-Financing!I26</f>
        <v>-0</v>
      </c>
      <c r="J49" s="67" t="n">
        <f aca="false">-Financing!J26</f>
        <v>-0</v>
      </c>
      <c r="K49" s="67" t="n">
        <f aca="false">-Financing!K26</f>
        <v>-0</v>
      </c>
      <c r="L49" s="67" t="n">
        <f aca="false">-Financing!L26</f>
        <v>-0</v>
      </c>
      <c r="M49" s="67" t="n">
        <f aca="false">-Financing!M26</f>
        <v>-0</v>
      </c>
      <c r="N49" s="67" t="n">
        <f aca="false">-Financing!N26</f>
        <v>-0</v>
      </c>
      <c r="O49" s="67" t="n">
        <f aca="false">-Financing!O26</f>
        <v>-0</v>
      </c>
      <c r="P49" s="67" t="n">
        <f aca="false">-Financing!P26</f>
        <v>-0</v>
      </c>
      <c r="Q49" s="67" t="n">
        <f aca="false">-Financing!Q26</f>
        <v>-0</v>
      </c>
      <c r="R49" s="67" t="n">
        <f aca="false">-Financing!R26</f>
        <v>-0</v>
      </c>
      <c r="S49" s="67" t="n">
        <f aca="false">-Financing!S26</f>
        <v>-0</v>
      </c>
      <c r="T49" s="67" t="n">
        <f aca="false">-Financing!T26</f>
        <v>-0</v>
      </c>
      <c r="U49" s="67" t="n">
        <f aca="false">-Financing!U26</f>
        <v>-0</v>
      </c>
      <c r="V49" s="67" t="n">
        <f aca="false">-Financing!V26</f>
        <v>-0</v>
      </c>
      <c r="W49" s="67" t="n">
        <f aca="false">-Financing!W26</f>
        <v>-0</v>
      </c>
      <c r="X49" s="67" t="n">
        <f aca="false">-Financing!X26</f>
        <v>-0</v>
      </c>
      <c r="Y49" s="67" t="n">
        <f aca="false">-Financing!Y26</f>
        <v>-0</v>
      </c>
      <c r="Z49" s="67" t="n">
        <f aca="false">-Financing!Z26</f>
        <v>-0</v>
      </c>
      <c r="AA49" s="67" t="n">
        <f aca="false">-Financing!AA26</f>
        <v>-0</v>
      </c>
      <c r="AB49" s="67" t="n">
        <f aca="false">-Financing!AB26</f>
        <v>-0</v>
      </c>
    </row>
    <row r="50" customFormat="false" ht="15" hidden="false" customHeight="false" outlineLevel="0" collapsed="false">
      <c r="A50" s="27" t="s">
        <v>498</v>
      </c>
      <c r="B50" s="63"/>
      <c r="C50" s="66" t="n">
        <f aca="false">P50</f>
        <v>1413444.84881047</v>
      </c>
      <c r="D50" s="66" t="n">
        <f aca="false">AB50</f>
        <v>2138219.03202265</v>
      </c>
      <c r="E50" s="76" t="n">
        <f aca="false">E47+E48+E49</f>
        <v>1248674.54564783</v>
      </c>
      <c r="F50" s="76" t="n">
        <f aca="false">F47+F48+F49</f>
        <v>1283687.49385509</v>
      </c>
      <c r="G50" s="76" t="n">
        <f aca="false">G47+G48+G49</f>
        <v>973288.355400077</v>
      </c>
      <c r="H50" s="76" t="n">
        <f aca="false">H47+H48+H49</f>
        <v>1033308.82496779</v>
      </c>
      <c r="I50" s="76" t="n">
        <f aca="false">I47+I48+I49</f>
        <v>1077157.17315173</v>
      </c>
      <c r="J50" s="76" t="n">
        <f aca="false">J47+J48+J49</f>
        <v>1077453.16600518</v>
      </c>
      <c r="K50" s="76" t="n">
        <f aca="false">K47+K48+K49</f>
        <v>1123203.28150401</v>
      </c>
      <c r="L50" s="76" t="n">
        <f aca="false">L47+L48+L49</f>
        <v>1153539.24488311</v>
      </c>
      <c r="M50" s="76" t="n">
        <f aca="false">M47+M48+M49</f>
        <v>1220698.8035209</v>
      </c>
      <c r="N50" s="76" t="n">
        <f aca="false">N47+N48+N49</f>
        <v>1284219.91620948</v>
      </c>
      <c r="O50" s="76" t="n">
        <f aca="false">O47+O48+O49</f>
        <v>1343053.00777507</v>
      </c>
      <c r="P50" s="76" t="n">
        <f aca="false">P47+P48+P49</f>
        <v>1413444.84881047</v>
      </c>
      <c r="Q50" s="76" t="n">
        <f aca="false">Q47+Q48+Q49</f>
        <v>1458448.33411323</v>
      </c>
      <c r="R50" s="76" t="n">
        <f aca="false">R47+R48+R49</f>
        <v>1511633.83578893</v>
      </c>
      <c r="S50" s="76" t="n">
        <f aca="false">S47+S48+S49</f>
        <v>1565079.66168856</v>
      </c>
      <c r="T50" s="76" t="n">
        <f aca="false">T47+T48+T49</f>
        <v>1625100.74406026</v>
      </c>
      <c r="U50" s="76" t="n">
        <f aca="false">U47+U48+U49</f>
        <v>1676116.83494735</v>
      </c>
      <c r="V50" s="76" t="n">
        <f aca="false">V47+V48+V49</f>
        <v>1744975.4201115</v>
      </c>
      <c r="W50" s="76" t="n">
        <f aca="false">W47+W48+W49</f>
        <v>1808013.53167772</v>
      </c>
      <c r="X50" s="76" t="n">
        <f aca="false">X47+X48+X49</f>
        <v>1855193.58424274</v>
      </c>
      <c r="Y50" s="76" t="n">
        <f aca="false">Y47+Y48+Y49</f>
        <v>1924944.71631821</v>
      </c>
      <c r="Z50" s="76" t="n">
        <f aca="false">Z47+Z48+Z49</f>
        <v>1997542.08234125</v>
      </c>
      <c r="AA50" s="76" t="n">
        <f aca="false">AA47+AA48+AA49</f>
        <v>2065632.26852254</v>
      </c>
      <c r="AB50" s="76" t="n">
        <f aca="false">AB47+AB48+AB49</f>
        <v>2138219.03202265</v>
      </c>
    </row>
    <row r="51" customFormat="false" ht="15" hidden="false" customHeight="false" outlineLevel="0" collapsed="false">
      <c r="A51" s="59" t="s">
        <v>499</v>
      </c>
      <c r="B51" s="60"/>
      <c r="C51" s="61" t="n">
        <f aca="false">P51</f>
        <v>1473444.84881047</v>
      </c>
      <c r="D51" s="61" t="n">
        <f aca="false">AB51</f>
        <v>2198219.03202265</v>
      </c>
      <c r="E51" s="61" t="n">
        <f aca="false">E45+E46+E50</f>
        <v>1308674.54564783</v>
      </c>
      <c r="F51" s="61" t="n">
        <f aca="false">F45+F46+F50</f>
        <v>1343687.49385509</v>
      </c>
      <c r="G51" s="61" t="n">
        <f aca="false">G45+G46+G50</f>
        <v>1033288.35540008</v>
      </c>
      <c r="H51" s="61" t="n">
        <f aca="false">H45+H46+H50</f>
        <v>1093308.82496779</v>
      </c>
      <c r="I51" s="61" t="n">
        <f aca="false">I45+I46+I50</f>
        <v>1137157.17315173</v>
      </c>
      <c r="J51" s="61" t="n">
        <f aca="false">J45+J46+J50</f>
        <v>1137453.16600518</v>
      </c>
      <c r="K51" s="61" t="n">
        <f aca="false">K45+K46+K50</f>
        <v>1183203.28150401</v>
      </c>
      <c r="L51" s="61" t="n">
        <f aca="false">L45+L46+L50</f>
        <v>1213539.24488311</v>
      </c>
      <c r="M51" s="61" t="n">
        <f aca="false">M45+M46+M50</f>
        <v>1280698.8035209</v>
      </c>
      <c r="N51" s="61" t="n">
        <f aca="false">N45+N46+N50</f>
        <v>1344219.91620948</v>
      </c>
      <c r="O51" s="61" t="n">
        <f aca="false">O45+O46+O50</f>
        <v>1403053.00777507</v>
      </c>
      <c r="P51" s="61" t="n">
        <f aca="false">P45+P46+P50</f>
        <v>1473444.84881047</v>
      </c>
      <c r="Q51" s="61" t="n">
        <f aca="false">Q45+Q46+Q50</f>
        <v>1518448.33411323</v>
      </c>
      <c r="R51" s="61" t="n">
        <f aca="false">R45+R46+R50</f>
        <v>1571633.83578893</v>
      </c>
      <c r="S51" s="61" t="n">
        <f aca="false">S45+S46+S50</f>
        <v>1625079.66168856</v>
      </c>
      <c r="T51" s="61" t="n">
        <f aca="false">T45+T46+T50</f>
        <v>1685100.74406026</v>
      </c>
      <c r="U51" s="61" t="n">
        <f aca="false">U45+U46+U50</f>
        <v>1736116.83494735</v>
      </c>
      <c r="V51" s="61" t="n">
        <f aca="false">V45+V46+V50</f>
        <v>1804975.4201115</v>
      </c>
      <c r="W51" s="61" t="n">
        <f aca="false">W45+W46+W50</f>
        <v>1868013.53167772</v>
      </c>
      <c r="X51" s="61" t="n">
        <f aca="false">X45+X46+X50</f>
        <v>1915193.58424274</v>
      </c>
      <c r="Y51" s="61" t="n">
        <f aca="false">Y45+Y46+Y50</f>
        <v>1984944.71631821</v>
      </c>
      <c r="Z51" s="61" t="n">
        <f aca="false">Z45+Z46+Z50</f>
        <v>2057542.08234125</v>
      </c>
      <c r="AA51" s="61" t="n">
        <f aca="false">AA45+AA46+AA50</f>
        <v>2125632.26852254</v>
      </c>
      <c r="AB51" s="61" t="n">
        <f aca="false">AB45+AB46+AB50</f>
        <v>2198219.03202265</v>
      </c>
    </row>
    <row r="52" customFormat="false" ht="15" hidden="false" customHeight="false" outlineLevel="0" collapsed="false">
      <c r="A52" s="59" t="s">
        <v>500</v>
      </c>
      <c r="B52" s="60"/>
      <c r="C52" s="61" t="n">
        <f aca="false">P52</f>
        <v>3410412.75811093</v>
      </c>
      <c r="D52" s="61" t="n">
        <f aca="false">AB52</f>
        <v>3873625.00501987</v>
      </c>
      <c r="E52" s="61" t="n">
        <f aca="false">E43+E51</f>
        <v>4145590.07460246</v>
      </c>
      <c r="F52" s="61" t="n">
        <f aca="false">F43+F51</f>
        <v>3966412.73740306</v>
      </c>
      <c r="G52" s="61" t="n">
        <f aca="false">G43+G51</f>
        <v>4105956.76657818</v>
      </c>
      <c r="H52" s="61" t="n">
        <f aca="false">H43+H51</f>
        <v>4090881.68264001</v>
      </c>
      <c r="I52" s="61" t="n">
        <f aca="false">I43+I51</f>
        <v>3863868.94004231</v>
      </c>
      <c r="J52" s="61" t="n">
        <f aca="false">J43+J51</f>
        <v>3613153.93107646</v>
      </c>
      <c r="K52" s="61" t="n">
        <f aca="false">K43+K51</f>
        <v>3398690.42637568</v>
      </c>
      <c r="L52" s="61" t="n">
        <f aca="false">L43+L51</f>
        <v>3290776.54212069</v>
      </c>
      <c r="M52" s="61" t="n">
        <f aca="false">M43+M51</f>
        <v>3496655.83078646</v>
      </c>
      <c r="N52" s="61" t="n">
        <f aca="false">N43+N51</f>
        <v>3530290.08209188</v>
      </c>
      <c r="O52" s="61" t="n">
        <f aca="false">O43+O51</f>
        <v>3494060.2875131</v>
      </c>
      <c r="P52" s="61" t="n">
        <f aca="false">P43+P51</f>
        <v>3410412.75811093</v>
      </c>
      <c r="Q52" s="61" t="n">
        <f aca="false">Q43+Q51</f>
        <v>3869418.79381162</v>
      </c>
      <c r="R52" s="61" t="n">
        <f aca="false">R43+R51</f>
        <v>3720529.33055804</v>
      </c>
      <c r="S52" s="61" t="n">
        <f aca="false">S43+S51</f>
        <v>3809693.34511054</v>
      </c>
      <c r="T52" s="61" t="n">
        <f aca="false">T43+T51</f>
        <v>3811028.13005227</v>
      </c>
      <c r="U52" s="61" t="n">
        <f aca="false">U43+U51</f>
        <v>3867166.83700564</v>
      </c>
      <c r="V52" s="61" t="n">
        <f aca="false">V43+V51</f>
        <v>3869123.95989577</v>
      </c>
      <c r="W52" s="61" t="n">
        <f aca="false">W43+W51</f>
        <v>3696757.25988624</v>
      </c>
      <c r="X52" s="61" t="n">
        <f aca="false">X43+X51</f>
        <v>3648619.86477034</v>
      </c>
      <c r="Y52" s="61" t="n">
        <f aca="false">Y43+Y51</f>
        <v>3962687.42794294</v>
      </c>
      <c r="Z52" s="61" t="n">
        <f aca="false">Z43+Z51</f>
        <v>4008665.37169137</v>
      </c>
      <c r="AA52" s="61" t="n">
        <f aca="false">AA43+AA51</f>
        <v>3905543.52618943</v>
      </c>
      <c r="AB52" s="61" t="n">
        <f aca="false">AB43+AB51</f>
        <v>3873625.00501987</v>
      </c>
    </row>
    <row r="53" customFormat="false" ht="15" hidden="false" customHeight="false" outlineLevel="0" collapsed="false">
      <c r="A53" s="59" t="s">
        <v>501</v>
      </c>
      <c r="B53" s="60"/>
      <c r="C53" s="61" t="n">
        <f aca="false">P53</f>
        <v>0</v>
      </c>
      <c r="D53" s="61" t="n">
        <f aca="false">AB53</f>
        <v>0</v>
      </c>
      <c r="E53" s="61" t="n">
        <f aca="false">ROUND(E21-E52,2)</f>
        <v>0</v>
      </c>
      <c r="F53" s="61" t="n">
        <f aca="false">ROUND(F21-F52,2)</f>
        <v>0</v>
      </c>
      <c r="G53" s="61" t="n">
        <f aca="false">ROUND(G21-G52,2)</f>
        <v>0</v>
      </c>
      <c r="H53" s="61" t="n">
        <f aca="false">ROUND(H21-H52,2)</f>
        <v>0</v>
      </c>
      <c r="I53" s="61" t="n">
        <f aca="false">ROUND(I21-I52,2)</f>
        <v>0</v>
      </c>
      <c r="J53" s="61" t="n">
        <f aca="false">ROUND(J21-J52,2)</f>
        <v>0</v>
      </c>
      <c r="K53" s="61" t="n">
        <f aca="false">ROUND(K21-K52,2)</f>
        <v>0</v>
      </c>
      <c r="L53" s="61" t="n">
        <f aca="false">ROUND(L21-L52,2)</f>
        <v>0</v>
      </c>
      <c r="M53" s="61" t="n">
        <f aca="false">ROUND(M21-M52,2)</f>
        <v>0</v>
      </c>
      <c r="N53" s="61" t="n">
        <f aca="false">ROUND(N21-N52,2)</f>
        <v>0</v>
      </c>
      <c r="O53" s="61" t="n">
        <f aca="false">ROUND(O21-O52,2)</f>
        <v>0</v>
      </c>
      <c r="P53" s="61" t="n">
        <f aca="false">ROUND(P21-P52,2)</f>
        <v>0</v>
      </c>
      <c r="Q53" s="61" t="n">
        <f aca="false">ROUND(Q21-Q52,2)</f>
        <v>0</v>
      </c>
      <c r="R53" s="61" t="n">
        <f aca="false">ROUND(R21-R52,2)</f>
        <v>0</v>
      </c>
      <c r="S53" s="61" t="n">
        <f aca="false">ROUND(S21-S52,2)</f>
        <v>0</v>
      </c>
      <c r="T53" s="61" t="n">
        <f aca="false">ROUND(T21-T52,2)</f>
        <v>0</v>
      </c>
      <c r="U53" s="61" t="n">
        <f aca="false">ROUND(U21-U52,2)</f>
        <v>0</v>
      </c>
      <c r="V53" s="61" t="n">
        <f aca="false">ROUND(V21-V52,2)</f>
        <v>0</v>
      </c>
      <c r="W53" s="61" t="n">
        <f aca="false">ROUND(W21-W52,2)</f>
        <v>0</v>
      </c>
      <c r="X53" s="61" t="n">
        <f aca="false">ROUND(X21-X52,2)</f>
        <v>0</v>
      </c>
      <c r="Y53" s="61" t="n">
        <f aca="false">ROUND(Y21-Y52,2)</f>
        <v>0</v>
      </c>
      <c r="Z53" s="61" t="n">
        <f aca="false">ROUND(Z21-Z52,2)</f>
        <v>0</v>
      </c>
      <c r="AA53" s="61" t="n">
        <f aca="false">ROUND(AA21-AA52,2)</f>
        <v>0</v>
      </c>
      <c r="AB53" s="61" t="n">
        <f aca="false">ROUND(AB21-AB52,2)</f>
        <v>0</v>
      </c>
    </row>
    <row r="54" customFormat="false" ht="15" hidden="false" customHeight="false" outlineLevel="0" collapsed="false">
      <c r="A54" s="21" t="s">
        <v>502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row>
    <row r="55" customFormat="false" ht="15" hidden="false" customHeight="false" outlineLevel="0" collapsed="false">
      <c r="A55" s="27" t="s">
        <v>503</v>
      </c>
      <c r="B55" s="63"/>
      <c r="C55" s="66" t="n">
        <f aca="false">P55</f>
        <v>195774.516827804</v>
      </c>
      <c r="D55" s="66" t="n">
        <f aca="false">AB55</f>
        <v>-704217.389634865</v>
      </c>
      <c r="E55" s="76" t="n">
        <f aca="false">E42-E9</f>
        <v>185380.9685</v>
      </c>
      <c r="F55" s="76" t="n">
        <f aca="false">F42-F9</f>
        <v>42077.1664500001</v>
      </c>
      <c r="G55" s="76" t="n">
        <f aca="false">G42-G9</f>
        <v>-85102.2166249999</v>
      </c>
      <c r="H55" s="76" t="n">
        <f aca="false">H42-H9</f>
        <v>-88962.9097249997</v>
      </c>
      <c r="I55" s="76" t="n">
        <f aca="false">I42-I9</f>
        <v>-17907.7153499995</v>
      </c>
      <c r="J55" s="76" t="n">
        <f aca="false">J42-J9</f>
        <v>219520.332550001</v>
      </c>
      <c r="K55" s="76" t="n">
        <f aca="false">K42-K9</f>
        <v>346998.419250001</v>
      </c>
      <c r="L55" s="76" t="n">
        <f aca="false">L42-L9</f>
        <v>191280.477150001</v>
      </c>
      <c r="M55" s="76" t="n">
        <f aca="false">M42-M9</f>
        <v>194096.812501117</v>
      </c>
      <c r="N55" s="76" t="n">
        <f aca="false">N42-N9</f>
        <v>219168.506819333</v>
      </c>
      <c r="O55" s="76" t="n">
        <f aca="false">O42-O9</f>
        <v>244310.358535641</v>
      </c>
      <c r="P55" s="76" t="n">
        <f aca="false">P42-P9</f>
        <v>195774.516827804</v>
      </c>
      <c r="Q55" s="76" t="n">
        <f aca="false">Q42-Q9</f>
        <v>91741.7529593535</v>
      </c>
      <c r="R55" s="76" t="n">
        <f aca="false">R42-R9</f>
        <v>-10004.2267396507</v>
      </c>
      <c r="S55" s="76" t="n">
        <f aca="false">S42-S9</f>
        <v>-173624.352927203</v>
      </c>
      <c r="T55" s="76" t="n">
        <f aca="false">T42-T9</f>
        <v>-246953.324703791</v>
      </c>
      <c r="U55" s="76" t="n">
        <f aca="false">U42-U9</f>
        <v>-389478.015935505</v>
      </c>
      <c r="V55" s="76" t="n">
        <f aca="false">V42-V9</f>
        <v>-367687.935523865</v>
      </c>
      <c r="W55" s="76" t="n">
        <f aca="false">W42-W9</f>
        <v>-331248.575979996</v>
      </c>
      <c r="X55" s="76" t="n">
        <f aca="false">X42-X9</f>
        <v>-557624.475650181</v>
      </c>
      <c r="Y55" s="76" t="n">
        <f aca="false">Y42-Y9</f>
        <v>-667478.26340301</v>
      </c>
      <c r="Z55" s="76" t="n">
        <f aca="false">Z42-Z9</f>
        <v>-640808.858126537</v>
      </c>
      <c r="AA55" s="76" t="n">
        <f aca="false">AA42-AA9</f>
        <v>-664977.92665152</v>
      </c>
      <c r="AB55" s="76" t="n">
        <f aca="false">AB42-AB9</f>
        <v>-704217.389634865</v>
      </c>
    </row>
    <row r="56" customFormat="false" ht="15" hidden="false" customHeight="false" outlineLevel="0" collapsed="false">
      <c r="A56" s="27" t="s">
        <v>504</v>
      </c>
      <c r="B56" s="63"/>
      <c r="C56" s="66" t="n">
        <f aca="false">P56</f>
        <v>763250.968997699</v>
      </c>
      <c r="D56" s="66" t="n">
        <f aca="false">AB56</f>
        <v>802694.617694809</v>
      </c>
      <c r="E56" s="76" t="n">
        <f aca="false">E10+E11+E13-E23-E24-E25-E26</f>
        <v>790017.836030695</v>
      </c>
      <c r="F56" s="76" t="n">
        <f aca="false">F10+F11+F13-F23-F24-F25-F26</f>
        <v>707838.385413702</v>
      </c>
      <c r="G56" s="76" t="n">
        <f aca="false">G10+G11+G13-G23-G24-G25-G26</f>
        <v>636134.654414019</v>
      </c>
      <c r="H56" s="76" t="n">
        <f aca="false">H10+H11+H13-H23-H24-H25-H26</f>
        <v>766210.416903527</v>
      </c>
      <c r="I56" s="76" t="n">
        <f aca="false">I10+I11+I13-I23-I24-I25-I26</f>
        <v>661952.209634738</v>
      </c>
      <c r="J56" s="76" t="n">
        <f aca="false">J10+J11+J13-J23-J24-J25-J26</f>
        <v>636467.212812434</v>
      </c>
      <c r="K56" s="76" t="n">
        <f aca="false">K10+K11+K13-K23-K24-K25-K26</f>
        <v>690059.400415632</v>
      </c>
      <c r="L56" s="76" t="n">
        <f aca="false">L10+L11+L13-L23-L24-L25-L26</f>
        <v>640158.939904323</v>
      </c>
      <c r="M56" s="76" t="n">
        <f aca="false">M10+M11+M13-M23-M24-M25-M26</f>
        <v>610866.141488274</v>
      </c>
      <c r="N56" s="76" t="n">
        <f aca="false">N10+N11+N13-N23-N24-N25-N26</f>
        <v>693357.73113849</v>
      </c>
      <c r="O56" s="76" t="n">
        <f aca="false">O10+O11+O13-O23-O24-O25-O26</f>
        <v>847351.076780204</v>
      </c>
      <c r="P56" s="76" t="n">
        <f aca="false">P10+P11+P13-P23-P24-P25-P26</f>
        <v>763250.968997699</v>
      </c>
      <c r="Q56" s="76" t="n">
        <f aca="false">Q10+Q11+Q13-Q23-Q24-Q25-Q26</f>
        <v>799193.883526452</v>
      </c>
      <c r="R56" s="76" t="n">
        <f aca="false">R10+R11+R13-R23-R24-R25-R26</f>
        <v>818230.317968635</v>
      </c>
      <c r="S56" s="76" t="n">
        <f aca="false">S10+S11+S13-S23-S24-S25-S26</f>
        <v>739194.330953613</v>
      </c>
      <c r="T56" s="76" t="n">
        <f aca="false">T10+T11+T13-T23-T24-T25-T26</f>
        <v>769430.610047057</v>
      </c>
      <c r="U56" s="76" t="n">
        <f aca="false">U10+U11+U13-U23-U24-U25-U26</f>
        <v>744085.516790543</v>
      </c>
      <c r="V56" s="76" t="n">
        <f aca="false">V10+V11+V13-V23-V24-V25-V26</f>
        <v>764055.500064775</v>
      </c>
      <c r="W56" s="76" t="n">
        <f aca="false">W10+W11+W13-W23-W24-W25-W26</f>
        <v>785304.55002369</v>
      </c>
      <c r="X56" s="76" t="n">
        <f aca="false">X10+X11+X13-X23-X24-X25-X26</f>
        <v>701530.026211283</v>
      </c>
      <c r="Y56" s="76" t="n">
        <f aca="false">Y10+Y11+Y13-Y23-Y24-Y25-Y26</f>
        <v>672752.349047364</v>
      </c>
      <c r="Z56" s="76" t="n">
        <f aca="false">Z10+Z11+Z13-Z23-Z24-Z25-Z26</f>
        <v>820298.472439663</v>
      </c>
      <c r="AA56" s="76" t="n">
        <f aca="false">AA10+AA11+AA13-AA23-AA24-AA25-AA26</f>
        <v>838093.699801858</v>
      </c>
      <c r="AB56" s="76" t="n">
        <f aca="false">AB10+AB11+AB13-AB23-AB24-AB25-AB26</f>
        <v>802694.617694809</v>
      </c>
    </row>
    <row r="57" customFormat="false" ht="15" hidden="false" customHeight="false" outlineLevel="0" collapsed="false">
      <c r="A57" s="27" t="s">
        <v>505</v>
      </c>
      <c r="B57" s="63"/>
      <c r="C57" s="66" t="n">
        <f aca="false">P57</f>
        <v>113856.25</v>
      </c>
      <c r="D57" s="66" t="n">
        <f aca="false">AB57</f>
        <v>111245.8</v>
      </c>
      <c r="E57" s="76" t="n">
        <f aca="false">E27+E28+E29</f>
        <v>339709.62</v>
      </c>
      <c r="F57" s="76" t="n">
        <f aca="false">F27+F28+F29</f>
        <v>297174.863333333</v>
      </c>
      <c r="G57" s="76" t="n">
        <f aca="false">G27+G28+G29</f>
        <v>290560.986666667</v>
      </c>
      <c r="H57" s="76" t="n">
        <f aca="false">H27+H28+H29</f>
        <v>274929.48</v>
      </c>
      <c r="I57" s="76" t="n">
        <f aca="false">I27+I28+I29</f>
        <v>232170.833333333</v>
      </c>
      <c r="J57" s="76" t="n">
        <f aca="false">J27+J28+J29</f>
        <v>243339.093333333</v>
      </c>
      <c r="K57" s="76" t="n">
        <f aca="false">K27+K28+K29</f>
        <v>206420.123333333</v>
      </c>
      <c r="L57" s="76" t="n">
        <f aca="false">L27+L28+L29</f>
        <v>176480.28</v>
      </c>
      <c r="M57" s="76" t="n">
        <f aca="false">M27+M28+M29</f>
        <v>162123.333333333</v>
      </c>
      <c r="N57" s="76" t="n">
        <f aca="false">N27+N28+N29</f>
        <v>134055.416666667</v>
      </c>
      <c r="O57" s="76" t="n">
        <f aca="false">O27+O28+O29</f>
        <v>131977.5</v>
      </c>
      <c r="P57" s="76" t="n">
        <f aca="false">P27+P28+P29</f>
        <v>113856.25</v>
      </c>
      <c r="Q57" s="76" t="n">
        <f aca="false">Q27+Q28+Q29</f>
        <v>333588.333333333</v>
      </c>
      <c r="R57" s="76" t="n">
        <f aca="false">R27+R28+R29</f>
        <v>313717</v>
      </c>
      <c r="S57" s="76" t="n">
        <f aca="false">S27+S28+S29</f>
        <v>297290.666666667</v>
      </c>
      <c r="T57" s="76" t="n">
        <f aca="false">T27+T28+T29</f>
        <v>278092.666666667</v>
      </c>
      <c r="U57" s="76" t="n">
        <f aca="false">U27+U28+U29</f>
        <v>251550.666666667</v>
      </c>
      <c r="V57" s="76" t="n">
        <f aca="false">V27+V28+V29</f>
        <v>232959</v>
      </c>
      <c r="W57" s="76" t="n">
        <f aca="false">W27+W28+W29</f>
        <v>208400.666666667</v>
      </c>
      <c r="X57" s="76" t="n">
        <f aca="false">X27+X28+X29</f>
        <v>178413</v>
      </c>
      <c r="Y57" s="76" t="n">
        <f aca="false">Y27+Y28+Y29</f>
        <v>165488.266666667</v>
      </c>
      <c r="Z57" s="76" t="n">
        <f aca="false">Z27+Z28+Z29</f>
        <v>144940.333333333</v>
      </c>
      <c r="AA57" s="76" t="n">
        <f aca="false">AA27+AA28+AA29</f>
        <v>121106</v>
      </c>
      <c r="AB57" s="76" t="n">
        <f aca="false">AB27+AB28+AB29</f>
        <v>111245.8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506</v>
      </c>
    </row>
    <row r="3" customFormat="false" ht="15" hidden="false" customHeight="false" outlineLevel="0" collapsed="false">
      <c r="A3" s="50" t="s">
        <v>507</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508</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509</v>
      </c>
      <c r="B9" s="63" t="s">
        <v>30</v>
      </c>
      <c r="C9" s="66" t="n">
        <f aca="false">SUM(E9:P9)</f>
        <v>551459.908810474</v>
      </c>
      <c r="D9" s="66" t="n">
        <f aca="false">SUM(Q9:AB9)</f>
        <v>724774.183212173</v>
      </c>
      <c r="E9" s="67" t="n">
        <f aca="false">PL!E54</f>
        <v>26689.6056478258</v>
      </c>
      <c r="F9" s="67" t="n">
        <f aca="false">PL!F54</f>
        <v>35012.9482072617</v>
      </c>
      <c r="G9" s="67" t="n">
        <f aca="false">PL!G54</f>
        <v>49600.8615449897</v>
      </c>
      <c r="H9" s="67" t="n">
        <f aca="false">PL!H54</f>
        <v>60020.4695677077</v>
      </c>
      <c r="I9" s="67" t="n">
        <f aca="false">PL!I54</f>
        <v>43848.3481839489</v>
      </c>
      <c r="J9" s="67" t="n">
        <f aca="false">PL!J54</f>
        <v>295.992853449412</v>
      </c>
      <c r="K9" s="67" t="n">
        <f aca="false">PL!K54</f>
        <v>45750.1154988257</v>
      </c>
      <c r="L9" s="67" t="n">
        <f aca="false">PL!L54</f>
        <v>30335.9633791045</v>
      </c>
      <c r="M9" s="67" t="n">
        <f aca="false">PL!M54</f>
        <v>67159.5586377812</v>
      </c>
      <c r="N9" s="67" t="n">
        <f aca="false">PL!N54</f>
        <v>63521.1126885897</v>
      </c>
      <c r="O9" s="67" t="n">
        <f aca="false">PL!O54</f>
        <v>58833.0915655824</v>
      </c>
      <c r="P9" s="67" t="n">
        <f aca="false">PL!P54</f>
        <v>70391.8410354078</v>
      </c>
      <c r="Q9" s="67" t="n">
        <f aca="false">PL!Q54</f>
        <v>45003.4853027516</v>
      </c>
      <c r="R9" s="67" t="n">
        <f aca="false">PL!R54</f>
        <v>53185.5016757082</v>
      </c>
      <c r="S9" s="67" t="n">
        <f aca="false">PL!S54</f>
        <v>53445.8258996202</v>
      </c>
      <c r="T9" s="67" t="n">
        <f aca="false">PL!T54</f>
        <v>60021.0823717071</v>
      </c>
      <c r="U9" s="67" t="n">
        <f aca="false">PL!U54</f>
        <v>51016.0908870916</v>
      </c>
      <c r="V9" s="67" t="n">
        <f aca="false">PL!V54</f>
        <v>68858.5851641448</v>
      </c>
      <c r="W9" s="67" t="n">
        <f aca="false">PL!W54</f>
        <v>63038.1115662214</v>
      </c>
      <c r="X9" s="67" t="n">
        <f aca="false">PL!X54</f>
        <v>47180.05256502</v>
      </c>
      <c r="Y9" s="67" t="n">
        <f aca="false">PL!Y54</f>
        <v>69751.1320754651</v>
      </c>
      <c r="Z9" s="67" t="n">
        <f aca="false">PL!Z54</f>
        <v>72597.3660230405</v>
      </c>
      <c r="AA9" s="67" t="n">
        <f aca="false">PL!AA54</f>
        <v>68090.1861812928</v>
      </c>
      <c r="AB9" s="67" t="n">
        <f aca="false">PL!AB54</f>
        <v>72586.7635001101</v>
      </c>
    </row>
    <row r="10" customFormat="false" ht="15" hidden="false" customHeight="false" outlineLevel="0" collapsed="false">
      <c r="A10" s="27" t="s">
        <v>510</v>
      </c>
      <c r="B10" s="63"/>
      <c r="C10" s="66" t="n">
        <f aca="false">SUM(E10:P10)</f>
        <v>118347.389537037</v>
      </c>
      <c r="D10" s="66" t="n">
        <f aca="false">SUM(Q10:AB10)</f>
        <v>124310.664714753</v>
      </c>
      <c r="E10" s="67" t="n">
        <f aca="false">-PL!E48</f>
        <v>9266.67</v>
      </c>
      <c r="F10" s="67" t="n">
        <f aca="false">-PL!F48</f>
        <v>9316.67</v>
      </c>
      <c r="G10" s="67" t="n">
        <f aca="false">-PL!G48</f>
        <v>9402.78111111111</v>
      </c>
      <c r="H10" s="67" t="n">
        <f aca="false">-PL!H48</f>
        <v>9761.11444444444</v>
      </c>
      <c r="I10" s="67" t="n">
        <f aca="false">-PL!I48</f>
        <v>9811.11444444444</v>
      </c>
      <c r="J10" s="67" t="n">
        <f aca="false">-PL!J48</f>
        <v>9861.11444444444</v>
      </c>
      <c r="K10" s="67" t="n">
        <f aca="false">-PL!K48</f>
        <v>9947.22555555556</v>
      </c>
      <c r="L10" s="67" t="n">
        <f aca="false">-PL!L48</f>
        <v>10033.3366666667</v>
      </c>
      <c r="M10" s="67" t="n">
        <f aca="false">-PL!M48</f>
        <v>10083.3366666667</v>
      </c>
      <c r="N10" s="67" t="n">
        <f aca="false">-PL!N48</f>
        <v>10133.3366666667</v>
      </c>
      <c r="O10" s="67" t="n">
        <f aca="false">-PL!O48</f>
        <v>10291.67</v>
      </c>
      <c r="P10" s="67" t="n">
        <f aca="false">-PL!P48</f>
        <v>10439.019537037</v>
      </c>
      <c r="Q10" s="67" t="n">
        <f aca="false">-PL!Q48</f>
        <v>10513.8749402006</v>
      </c>
      <c r="R10" s="67" t="n">
        <f aca="false">-PL!R48</f>
        <v>10734.1698074283</v>
      </c>
      <c r="S10" s="67" t="n">
        <f aca="false">-PL!S48</f>
        <v>10810.8541274683</v>
      </c>
      <c r="T10" s="67" t="n">
        <f aca="false">-PL!T48</f>
        <v>10923.6280936264</v>
      </c>
      <c r="U10" s="67" t="n">
        <f aca="false">-PL!U48</f>
        <v>11037.9874910955</v>
      </c>
      <c r="V10" s="67" t="n">
        <f aca="false">-PL!V48</f>
        <v>11116.2181588511</v>
      </c>
      <c r="W10" s="67" t="n">
        <f aca="false">-PL!W48</f>
        <v>11230.9635661229</v>
      </c>
      <c r="X10" s="67" t="n">
        <f aca="false">-PL!X48</f>
        <v>11310.0146478252</v>
      </c>
      <c r="Y10" s="67" t="n">
        <f aca="false">-PL!Y48</f>
        <v>11289.0561544072</v>
      </c>
      <c r="Z10" s="67" t="n">
        <f aca="false">-PL!Z48</f>
        <v>8368.51420653046</v>
      </c>
      <c r="AA10" s="67" t="n">
        <f aca="false">-PL!AA48</f>
        <v>8447.9675106773</v>
      </c>
      <c r="AB10" s="67" t="n">
        <f aca="false">-PL!AB48</f>
        <v>8527.41601051979</v>
      </c>
    </row>
    <row r="11" customFormat="false" ht="15" hidden="false" customHeight="false" outlineLevel="0" collapsed="false">
      <c r="A11" s="27" t="s">
        <v>511</v>
      </c>
      <c r="B11" s="63" t="s">
        <v>512</v>
      </c>
      <c r="C11" s="66" t="n">
        <f aca="false">SUM(E11:P11)</f>
        <v>135398.106288058</v>
      </c>
      <c r="D11" s="66" t="n">
        <f aca="false">SUM(Q11:AB11)</f>
        <v>-52744.9105969976</v>
      </c>
      <c r="E11" s="67" t="n">
        <f aca="false">-((BS!E10-Inputs_Actuals!$C$279)+(BS!E11-Inputs_Actuals!$C$280))</f>
        <v>-16924.5931024596</v>
      </c>
      <c r="F11" s="67" t="n">
        <f aca="false">-((BS!F10-BS!E10)+(BS!F11-BS!E11))</f>
        <v>244805.622582736</v>
      </c>
      <c r="G11" s="67" t="n">
        <f aca="false">-((BS!G10-BS!F10)+(BS!G11-BS!F11))</f>
        <v>-5544.67387789796</v>
      </c>
      <c r="H11" s="67" t="n">
        <f aca="false">-((BS!H10-BS!G10)+(BS!H11-BS!G11))</f>
        <v>-52388.3400729476</v>
      </c>
      <c r="I11" s="67" t="n">
        <f aca="false">-((BS!I10-BS!H10)+(BS!I11-BS!H11))</f>
        <v>83845.2161115977</v>
      </c>
      <c r="J11" s="67" t="n">
        <f aca="false">-((BS!J10-BS!I10)+(BS!J11-BS!I11))</f>
        <v>-25120.9403785985</v>
      </c>
      <c r="K11" s="67" t="n">
        <f aca="false">-((BS!K10-BS!J10)+(BS!K11-BS!J11))</f>
        <v>23496.7154452202</v>
      </c>
      <c r="L11" s="67" t="n">
        <f aca="false">-((BS!L10-BS!K10)+(BS!L11-BS!K11))</f>
        <v>153971.881354994</v>
      </c>
      <c r="M11" s="67" t="n">
        <f aca="false">-((BS!M10-BS!L10)+(BS!M11-BS!L11))</f>
        <v>-190226.324085272</v>
      </c>
      <c r="N11" s="67" t="n">
        <f aca="false">-((BS!N10-BS!M10)+(BS!N11-BS!M11))</f>
        <v>-73267.6638234418</v>
      </c>
      <c r="O11" s="67" t="n">
        <f aca="false">-((BS!O10-BS!N10)+(BS!O11-BS!N11))</f>
        <v>-96707.0250331943</v>
      </c>
      <c r="P11" s="67" t="n">
        <f aca="false">-((BS!P10-BS!O10)+(BS!P11-BS!O11))</f>
        <v>89458.231167322</v>
      </c>
      <c r="Q11" s="67" t="n">
        <f aca="false">-((BS!Q10-BS!P10)+(BS!Q11-BS!P11))</f>
        <v>-228461.254140893</v>
      </c>
      <c r="R11" s="67" t="n">
        <f aca="false">-((BS!R10-BS!Q10)+(BS!R11-BS!Q11))</f>
        <v>192035.265649804</v>
      </c>
      <c r="S11" s="67" t="n">
        <f aca="false">-((BS!S10-BS!R10)+(BS!S11-BS!R11))</f>
        <v>31301.6638356768</v>
      </c>
      <c r="T11" s="67" t="n">
        <f aca="false">-((BS!T10-BS!S10)+(BS!T11-BS!S11))</f>
        <v>18711.8664025642</v>
      </c>
      <c r="U11" s="67" t="n">
        <f aca="false">-((BS!U10-BS!T10)+(BS!U11-BS!T11))</f>
        <v>7975.74626336055</v>
      </c>
      <c r="V11" s="67" t="n">
        <f aca="false">-((BS!V10-BS!U10)+(BS!V11-BS!U11))</f>
        <v>-58260.419693083</v>
      </c>
      <c r="W11" s="67" t="n">
        <f aca="false">-((BS!W10-BS!V10)+(BS!W11-BS!V11))</f>
        <v>61838.8713543646</v>
      </c>
      <c r="X11" s="67" t="n">
        <f aca="false">-((BS!X10-BS!W10)+(BS!X11-BS!W11))</f>
        <v>168105.096660566</v>
      </c>
      <c r="Y11" s="67" t="n">
        <f aca="false">-((BS!Y10-BS!X10)+(BS!Y11-BS!X11))</f>
        <v>-197082.125585369</v>
      </c>
      <c r="Z11" s="67" t="n">
        <f aca="false">-((BS!Z10-BS!Y10)+(BS!Z11-BS!Y11))</f>
        <v>-114627.988116492</v>
      </c>
      <c r="AA11" s="67" t="n">
        <f aca="false">-((BS!AA10-BS!Z10)+(BS!AA11-BS!Z11))</f>
        <v>44359.4621683199</v>
      </c>
      <c r="AB11" s="67" t="n">
        <f aca="false">-((BS!AB10-BS!AA10)+(BS!AB11-BS!AA11))</f>
        <v>21358.9046041834</v>
      </c>
    </row>
    <row r="12" customFormat="false" ht="15" hidden="false" customHeight="false" outlineLevel="0" collapsed="false">
      <c r="A12" s="27" t="s">
        <v>513</v>
      </c>
      <c r="B12" s="63" t="s">
        <v>512</v>
      </c>
      <c r="C12" s="66" t="n">
        <f aca="false">SUM(E12:P12)</f>
        <v>-8800.00000000001</v>
      </c>
      <c r="D12" s="66" t="n">
        <f aca="false">SUM(Q12:AB12)</f>
        <v>8800.00000000001</v>
      </c>
      <c r="E12" s="67" t="n">
        <f aca="false">-((BS!E12-Inputs_Actuals!$C$285))</f>
        <v>0</v>
      </c>
      <c r="F12" s="67" t="n">
        <f aca="false">-((BS!F12-BS!E12))</f>
        <v>-1309.09</v>
      </c>
      <c r="G12" s="67" t="n">
        <f aca="false">-((BS!G12-BS!F12))</f>
        <v>-20562.7</v>
      </c>
      <c r="H12" s="67" t="n">
        <f aca="false">-((BS!H12-BS!G12))</f>
        <v>16346.79</v>
      </c>
      <c r="I12" s="67" t="n">
        <f aca="false">-((BS!I12-BS!H12))</f>
        <v>-8954.37999999999</v>
      </c>
      <c r="J12" s="67" t="n">
        <f aca="false">-((BS!J12-BS!I12))</f>
        <v>6191.87999999999</v>
      </c>
      <c r="K12" s="67" t="n">
        <f aca="false">-((BS!K12-BS!J12))</f>
        <v>1496.01</v>
      </c>
      <c r="L12" s="67" t="n">
        <f aca="false">-((BS!L12-BS!K12))</f>
        <v>6791.49</v>
      </c>
      <c r="M12" s="67" t="n">
        <f aca="false">-((BS!M12-BS!L12))</f>
        <v>-14144.7619047619</v>
      </c>
      <c r="N12" s="67" t="n">
        <f aca="false">-((BS!N12-BS!M12))</f>
        <v>-25427.6190476191</v>
      </c>
      <c r="O12" s="67" t="n">
        <f aca="false">-((BS!O12-BS!N12))</f>
        <v>39572.380952381</v>
      </c>
      <c r="P12" s="67" t="n">
        <f aca="false">-((BS!P12-BS!O12))</f>
        <v>-8800.00000000001</v>
      </c>
      <c r="Q12" s="67" t="n">
        <f aca="false">-((BS!Q12-BS!P12))</f>
        <v>8800.00000000001</v>
      </c>
      <c r="R12" s="67" t="n">
        <f aca="false">-((BS!R12-BS!Q12))</f>
        <v>-0</v>
      </c>
      <c r="S12" s="67" t="n">
        <f aca="false">-((BS!S12-BS!R12))</f>
        <v>-0</v>
      </c>
      <c r="T12" s="67" t="n">
        <f aca="false">-((BS!T12-BS!S12))</f>
        <v>-0</v>
      </c>
      <c r="U12" s="67" t="n">
        <f aca="false">-((BS!U12-BS!T12))</f>
        <v>-0</v>
      </c>
      <c r="V12" s="67" t="n">
        <f aca="false">-((BS!V12-BS!U12))</f>
        <v>-0</v>
      </c>
      <c r="W12" s="67" t="n">
        <f aca="false">-((BS!W12-BS!V12))</f>
        <v>-0</v>
      </c>
      <c r="X12" s="67" t="n">
        <f aca="false">-((BS!X12-BS!W12))</f>
        <v>-0</v>
      </c>
      <c r="Y12" s="67" t="n">
        <f aca="false">-((BS!Y12-BS!X12))</f>
        <v>-0</v>
      </c>
      <c r="Z12" s="67" t="n">
        <f aca="false">-((BS!Z12-BS!Y12))</f>
        <v>-0</v>
      </c>
      <c r="AA12" s="67" t="n">
        <f aca="false">-((BS!AA12-BS!Z12))</f>
        <v>-0</v>
      </c>
      <c r="AB12" s="67" t="n">
        <f aca="false">-((BS!AB12-BS!AA12))</f>
        <v>-0</v>
      </c>
    </row>
    <row r="13" customFormat="false" ht="15" hidden="false" customHeight="false" outlineLevel="0" collapsed="false">
      <c r="A13" s="27" t="s">
        <v>514</v>
      </c>
      <c r="B13" s="63" t="s">
        <v>512</v>
      </c>
      <c r="C13" s="66" t="n">
        <f aca="false">SUM(E13:P13)</f>
        <v>16226.4929032258</v>
      </c>
      <c r="D13" s="66" t="n">
        <f aca="false">SUM(Q13:AB13)</f>
        <v>0</v>
      </c>
      <c r="E13" s="67" t="n">
        <f aca="false">-((BS!E13-Inputs_Actuals!$C$281))</f>
        <v>22595.4</v>
      </c>
      <c r="F13" s="67" t="n">
        <f aca="false">-((BS!F13-BS!E13))</f>
        <v>-2364.01999999999</v>
      </c>
      <c r="G13" s="67" t="n">
        <f aca="false">-((BS!G13-BS!F13))</f>
        <v>-15583.04</v>
      </c>
      <c r="H13" s="67" t="n">
        <f aca="false">-((BS!H13-BS!G13))</f>
        <v>5240.96000000001</v>
      </c>
      <c r="I13" s="67" t="n">
        <f aca="false">-((BS!I13-BS!H13))</f>
        <v>7184.31</v>
      </c>
      <c r="J13" s="67" t="n">
        <f aca="false">-((BS!J13-BS!I13))</f>
        <v>-13816.58</v>
      </c>
      <c r="K13" s="67" t="n">
        <f aca="false">-((BS!K13-BS!J13))</f>
        <v>15812.64</v>
      </c>
      <c r="L13" s="67" t="n">
        <f aca="false">-((BS!L13-BS!K13))</f>
        <v>24687.52</v>
      </c>
      <c r="M13" s="67" t="n">
        <f aca="false">-((BS!M13-BS!L13))</f>
        <v>-47134.9073333333</v>
      </c>
      <c r="N13" s="67" t="n">
        <f aca="false">-((BS!N13-BS!M13))</f>
        <v>-4969.31234408602</v>
      </c>
      <c r="O13" s="67" t="n">
        <f aca="false">-((BS!O13-BS!N13))</f>
        <v>14279.9470107527</v>
      </c>
      <c r="P13" s="67" t="n">
        <f aca="false">-((BS!P13-BS!O13))</f>
        <v>10293.5755698925</v>
      </c>
      <c r="Q13" s="67" t="n">
        <f aca="false">-((BS!Q13-BS!P13))</f>
        <v>8191.17419354839</v>
      </c>
      <c r="R13" s="67" t="n">
        <f aca="false">-((BS!R13-BS!Q13))</f>
        <v>-11350.6270967742</v>
      </c>
      <c r="S13" s="67" t="n">
        <f aca="false">-((BS!S13-BS!R13))</f>
        <v>-2574.36903225805</v>
      </c>
      <c r="T13" s="67" t="n">
        <f aca="false">-((BS!T13-BS!S13))</f>
        <v>5597.30236559139</v>
      </c>
      <c r="U13" s="67" t="n">
        <f aca="false">-((BS!U13-BS!T13))</f>
        <v>-1501.71526881719</v>
      </c>
      <c r="V13" s="67" t="n">
        <f aca="false">-((BS!V13-BS!U13))</f>
        <v>-12887.4473978495</v>
      </c>
      <c r="W13" s="67" t="n">
        <f aca="false">-((BS!W13-BS!V13))</f>
        <v>19440.3867526882</v>
      </c>
      <c r="X13" s="67" t="n">
        <f aca="false">-((BS!X13-BS!W13))</f>
        <v>26211.7574193549</v>
      </c>
      <c r="Y13" s="67" t="n">
        <f aca="false">-((BS!Y13-BS!X13))</f>
        <v>-50730.672172043</v>
      </c>
      <c r="Z13" s="67" t="n">
        <f aca="false">-((BS!Z13-BS!Y13))</f>
        <v>-4969.31234408602</v>
      </c>
      <c r="AA13" s="67" t="n">
        <f aca="false">-((BS!AA13-BS!Z13))</f>
        <v>14279.9470107527</v>
      </c>
      <c r="AB13" s="67" t="n">
        <f aca="false">-((BS!AB13-BS!AA13))</f>
        <v>10293.5755698925</v>
      </c>
    </row>
    <row r="14" customFormat="false" ht="15" hidden="false" customHeight="false" outlineLevel="0" collapsed="false">
      <c r="A14" s="27" t="s">
        <v>515</v>
      </c>
      <c r="B14" s="63" t="s">
        <v>512</v>
      </c>
      <c r="C14" s="66" t="n">
        <f aca="false">SUM(E14:P14)</f>
        <v>-15127.5158198344</v>
      </c>
      <c r="D14" s="66" t="n">
        <f aca="false">SUM(Q14:AB14)</f>
        <v>-638.426026238711</v>
      </c>
      <c r="E14" s="67" t="n">
        <f aca="false">-((BS!E14-Inputs_Actuals!$C$282)+(BS!E15-Inputs_Actuals!$C$283)+(BS!E17-Inputs_Actuals!$C$284)+(BS!E16-0))</f>
        <v>-170109.52</v>
      </c>
      <c r="F14" s="67" t="n">
        <f aca="false">-((BS!F14-BS!E14)+(BS!F15-BS!E15)+(BS!F17-BS!E17)+(BS!F16-BS!E16))</f>
        <v>41798.6266666667</v>
      </c>
      <c r="G14" s="67" t="n">
        <f aca="false">-((BS!G14-BS!F14)+(BS!G15-BS!F15)+(BS!G17-BS!F17)+(BS!G16-BS!F16))</f>
        <v>-510.343333333342</v>
      </c>
      <c r="H14" s="67" t="n">
        <f aca="false">-((BS!H14-BS!G14)+(BS!H15-BS!G15)+(BS!H17-BS!G17)+(BS!H16-BS!G16))</f>
        <v>8441.92266666666</v>
      </c>
      <c r="I14" s="67" t="n">
        <f aca="false">-((BS!I14-BS!H14)+(BS!I15-BS!H15)+(BS!I17-BS!H17)+(BS!I16-BS!H16))</f>
        <v>32537.9576666667</v>
      </c>
      <c r="J14" s="67" t="n">
        <f aca="false">-((BS!J14-BS!I14)+(BS!J15-BS!I15)+(BS!J17-BS!I17)+(BS!J16-BS!I16))</f>
        <v>5938.157</v>
      </c>
      <c r="K14" s="67" t="n">
        <f aca="false">-((BS!K14-BS!J14)+(BS!K15-BS!J15)+(BS!K17-BS!J17)+(BS!K16-BS!J16))</f>
        <v>5999.497</v>
      </c>
      <c r="L14" s="67" t="n">
        <f aca="false">-((BS!L14-BS!K14)+(BS!L15-BS!K15)+(BS!L17-BS!K17)+(BS!L16-BS!K16))</f>
        <v>36614.2683333334</v>
      </c>
      <c r="M14" s="67" t="n">
        <f aca="false">-((BS!M14-BS!L14)+(BS!M15-BS!L15)+(BS!M17-BS!L17)+(BS!M16-BS!L16))</f>
        <v>1193.70263981666</v>
      </c>
      <c r="N14" s="67" t="n">
        <f aca="false">-((BS!N14-BS!M14)+(BS!N15-BS!M15)+(BS!N17-BS!M17)+(BS!N16-BS!M16))</f>
        <v>7191.98292483581</v>
      </c>
      <c r="O14" s="67" t="n">
        <f aca="false">-((BS!O14-BS!N14)+(BS!O15-BS!N15)+(BS!O17-BS!N17)+(BS!O16-BS!N16))</f>
        <v>15622.2232658714</v>
      </c>
      <c r="P14" s="67" t="n">
        <f aca="false">-((BS!P14-BS!O14)+(BS!P15-BS!O15)+(BS!P17-BS!O17)+(BS!P16-BS!O16))</f>
        <v>154.009349641736</v>
      </c>
      <c r="Q14" s="67" t="n">
        <f aca="false">-((BS!Q14-BS!P14)+(BS!Q15-BS!P15)+(BS!Q17-BS!P17)+(BS!Q16-BS!P16))</f>
        <v>-179419.781604897</v>
      </c>
      <c r="R14" s="67" t="n">
        <f aca="false">-((BS!R14-BS!Q14)+(BS!R15-BS!Q15)+(BS!R17-BS!Q17)+(BS!R16-BS!Q16))</f>
        <v>28643.94011357</v>
      </c>
      <c r="S14" s="67" t="n">
        <f aca="false">-((BS!S14-BS!R14)+(BS!S15-BS!R15)+(BS!S17-BS!R17)+(BS!S16-BS!R16))</f>
        <v>5644.49548585212</v>
      </c>
      <c r="T14" s="67" t="n">
        <f aca="false">-((BS!T14-BS!S14)+(BS!T15-BS!S15)+(BS!T17-BS!S17)+(BS!T16-BS!S16))</f>
        <v>7544.99828195881</v>
      </c>
      <c r="U14" s="67" t="n">
        <f aca="false">-((BS!U14-BS!T14)+(BS!U15-BS!T15)+(BS!U17-BS!T17)+(BS!U16-BS!T16))</f>
        <v>38356.9398319142</v>
      </c>
      <c r="V14" s="67" t="n">
        <f aca="false">-((BS!V14-BS!U14)+(BS!V15-BS!U15)+(BS!V17-BS!U17)+(BS!V16-BS!U16))</f>
        <v>7081.95029209559</v>
      </c>
      <c r="W14" s="67" t="n">
        <f aca="false">-((BS!W14-BS!V14)+(BS!W15-BS!V15)+(BS!W17-BS!V17)+(BS!W16-BS!V16))</f>
        <v>12929.6277337663</v>
      </c>
      <c r="X14" s="67" t="n">
        <f aca="false">-((BS!X14-BS!W14)+(BS!X15-BS!W15)+(BS!X17-BS!W17)+(BS!X16-BS!W16))</f>
        <v>38398.5902952951</v>
      </c>
      <c r="Y14" s="67" t="n">
        <f aca="false">-((BS!Y14-BS!X14)+(BS!Y15-BS!X15)+(BS!Y17-BS!X17)+(BS!Y16-BS!X16))</f>
        <v>1837.12605966486</v>
      </c>
      <c r="Z14" s="67" t="n">
        <f aca="false">-((BS!Z14-BS!Y14)+(BS!Z15-BS!Y15)+(BS!Z17-BS!Y17)+(BS!Z16-BS!Y16))</f>
        <v>8108.42617843216</v>
      </c>
      <c r="AA14" s="67" t="n">
        <f aca="false">-((BS!AA14-BS!Z14)+(BS!AA15-BS!Z15)+(BS!AA17-BS!Z17)+(BS!AA16-BS!Z16))</f>
        <v>29730.353331508</v>
      </c>
      <c r="AB14" s="67" t="n">
        <f aca="false">-((BS!AB14-BS!AA14)+(BS!AB15-BS!AA15)+(BS!AB17-BS!AA17)+(BS!AB16-BS!AA16))</f>
        <v>504.907974601334</v>
      </c>
    </row>
    <row r="15" customFormat="false" ht="15" hidden="false" customHeight="false" outlineLevel="0" collapsed="false">
      <c r="A15" s="27" t="s">
        <v>516</v>
      </c>
      <c r="B15" s="63" t="s">
        <v>512</v>
      </c>
      <c r="C15" s="66" t="n">
        <f aca="false">SUM(E15:P15)</f>
        <v>-60633.7181889828</v>
      </c>
      <c r="D15" s="66" t="n">
        <f aca="false">SUM(Q15:AB15)</f>
        <v>13301.2618998877</v>
      </c>
      <c r="E15" s="67" t="n">
        <f aca="false">((BS!E23-Inputs_Actuals!$C$293)+(BS!E24-Inputs_Actuals!$C$294)+(BS!E25-Inputs_Actuals!$C$295)+(BS!E26-Inputs_Actuals!$C$296))</f>
        <v>58553.2070717654</v>
      </c>
      <c r="F15" s="67" t="n">
        <f aca="false">((BS!F23-BS!E23)+(BS!F24-BS!E24)+(BS!F25-BS!E25)+(BS!F26-BS!E26))</f>
        <v>-160262.151965743</v>
      </c>
      <c r="G15" s="67" t="n">
        <f aca="false">((BS!G23-BS!F23)+(BS!G24-BS!F24)+(BS!G25-BS!F25)+(BS!G26-BS!F26))</f>
        <v>92831.4448775812</v>
      </c>
      <c r="H15" s="67" t="n">
        <f aca="false">((BS!H23-BS!G23)+(BS!H24-BS!G24)+(BS!H25-BS!G25)+(BS!H26-BS!G26))</f>
        <v>-82928.3824165611</v>
      </c>
      <c r="I15" s="67" t="n">
        <f aca="false">((BS!I23-BS!H23)+(BS!I24-BS!H24)+(BS!I25-BS!H25)+(BS!I26-BS!H26))</f>
        <v>13228.681157192</v>
      </c>
      <c r="J15" s="67" t="n">
        <f aca="false">((BS!J23-BS!I23)+(BS!J24-BS!I24)+(BS!J25-BS!I25)+(BS!J26-BS!I26))</f>
        <v>64422.517200902</v>
      </c>
      <c r="K15" s="67" t="n">
        <f aca="false">((BS!K23-BS!J23)+(BS!K24-BS!J24)+(BS!K25-BS!J25)+(BS!K26-BS!J26))</f>
        <v>-92901.5430484182</v>
      </c>
      <c r="L15" s="67" t="n">
        <f aca="false">((BS!L23-BS!K23)+(BS!L24-BS!K24)+(BS!L25-BS!K25)+(BS!L26-BS!K26))</f>
        <v>-128758.940843685</v>
      </c>
      <c r="M15" s="67" t="n">
        <f aca="false">((BS!M23-BS!L23)+(BS!M24-BS!L24)+(BS!M25-BS!L25)+(BS!M26-BS!L26))</f>
        <v>266654.029834654</v>
      </c>
      <c r="N15" s="67" t="n">
        <f aca="false">((BS!N23-BS!M23)+(BS!N24-BS!M24)+(BS!N25-BS!M25)+(BS!N26-BS!M26))</f>
        <v>-4254.6134826884</v>
      </c>
      <c r="O15" s="67" t="n">
        <f aca="false">((BS!O23-BS!N23)+(BS!O24-BS!N24)+(BS!O25-BS!N25)+(BS!O26-BS!N26))</f>
        <v>-71566.2676192727</v>
      </c>
      <c r="P15" s="67" t="n">
        <f aca="false">((BS!P23-BS!O23)+(BS!P24-BS!O24)+(BS!P25-BS!O25)+(BS!P26-BS!O26))</f>
        <v>-15651.698954709</v>
      </c>
      <c r="Q15" s="67" t="n">
        <f aca="false">((BS!Q23-BS!P23)+(BS!Q24-BS!P24)+(BS!Q25-BS!P25)+(BS!Q26-BS!P26))</f>
        <v>184327.165418592</v>
      </c>
      <c r="R15" s="67" t="n">
        <f aca="false">((BS!R23-BS!Q23)+(BS!R24-BS!Q24)+(BS!R25-BS!Q25)+(BS!R26-BS!Q26))</f>
        <v>-199721.072995213</v>
      </c>
      <c r="S15" s="67" t="n">
        <f aca="false">((BS!S23-BS!R23)+(BS!S24-BS!R24)+(BS!S25-BS!R25)+(BS!S26-BS!R26))</f>
        <v>50308.6922116033</v>
      </c>
      <c r="T15" s="67" t="n">
        <f aca="false">((BS!T23-BS!S23)+(BS!T24-BS!S24)+(BS!T25-BS!S25)+(BS!T26-BS!S26))</f>
        <v>-54545.4478615994</v>
      </c>
      <c r="U15" s="67" t="n">
        <f aca="false">((BS!U23-BS!T23)+(BS!U24-BS!T24)+(BS!U25-BS!T25)+(BS!U26-BS!T26))</f>
        <v>18871.0622619707</v>
      </c>
      <c r="V15" s="67" t="n">
        <f aca="false">((BS!V23-BS!U23)+(BS!V24-BS!U24)+(BS!V25-BS!U25)+(BS!V26-BS!U26))</f>
        <v>51177.8838167004</v>
      </c>
      <c r="W15" s="67" t="n">
        <f aca="false">((BS!W23-BS!V23)+(BS!W24-BS!V24)+(BS!W25-BS!V25)+(BS!W26-BS!V26))</f>
        <v>-102528.308065967</v>
      </c>
      <c r="X15" s="67" t="n">
        <f aca="false">((BS!X23-BS!W23)+(BS!X24-BS!W24)+(BS!X25-BS!W25)+(BS!X26-BS!W26))</f>
        <v>-110542.330267514</v>
      </c>
      <c r="Y15" s="67" t="n">
        <f aca="false">((BS!Y23-BS!X23)+(BS!Y24-BS!X24)+(BS!Y25-BS!X25)+(BS!Y26-BS!X26))</f>
        <v>276590.474921331</v>
      </c>
      <c r="Z15" s="67" t="n">
        <f aca="false">((BS!Z23-BS!Y23)+(BS!Z24-BS!Y24)+(BS!Z25-BS!Y25)+(BS!Z26-BS!Y26))</f>
        <v>-27948.8229317203</v>
      </c>
      <c r="AA15" s="67" t="n">
        <f aca="false">((BS!AA23-BS!Z23)+(BS!AA24-BS!Z24)+(BS!AA25-BS!Z25)+(BS!AA26-BS!Z26))</f>
        <v>-76434.6365412673</v>
      </c>
      <c r="AB15" s="67" t="n">
        <f aca="false">((BS!AB23-BS!AA23)+(BS!AB24-BS!AA24)+(BS!AB25-BS!AA25)+(BS!AB26-BS!AA26))</f>
        <v>3746.60193297252</v>
      </c>
    </row>
    <row r="16" customFormat="false" ht="15" hidden="false" customHeight="false" outlineLevel="0" collapsed="false">
      <c r="A16" s="27" t="s">
        <v>517</v>
      </c>
      <c r="B16" s="63" t="s">
        <v>512</v>
      </c>
      <c r="C16" s="66" t="n">
        <f aca="false">SUM(E16:P16)</f>
        <v>-12655.5565042039</v>
      </c>
      <c r="D16" s="66" t="n">
        <f aca="false">SUM(Q16:AB16)</f>
        <v>-3067.093495796</v>
      </c>
      <c r="E16" s="67" t="n">
        <f aca="false">((BS!E27-Inputs_Actuals!$C$297)+(BS!E28-Inputs_Actuals!$C$298)+(BS!E29-Inputs_Actuals!$C$299)+(BS!E30-Inputs_Actuals!$C$300))</f>
        <v>212741.17</v>
      </c>
      <c r="F16" s="67" t="n">
        <f aca="false">((BS!F27-BS!E27)+(BS!F28-BS!E28)+(BS!F29-BS!E29)+(BS!F30-BS!E30))</f>
        <v>-42534.7566666667</v>
      </c>
      <c r="G16" s="67" t="n">
        <f aca="false">((BS!G27-BS!F27)+(BS!G28-BS!F28)+(BS!G29-BS!F29)+(BS!G30-BS!F30))</f>
        <v>-3378.14666666666</v>
      </c>
      <c r="H16" s="67" t="n">
        <f aca="false">((BS!H27-BS!G27)+(BS!H28-BS!G28)+(BS!H29-BS!G29)+(BS!H30-BS!G30))</f>
        <v>-14025.5266666667</v>
      </c>
      <c r="I16" s="67" t="n">
        <f aca="false">((BS!I27-BS!H27)+(BS!I28-BS!H28)+(BS!I29-BS!H29)+(BS!I30-BS!H30))</f>
        <v>-42159.3166666667</v>
      </c>
      <c r="J16" s="67" t="n">
        <f aca="false">((BS!J27-BS!I27)+(BS!J28-BS!I28)+(BS!J29-BS!I29)+(BS!J30-BS!I30))</f>
        <v>9547.34</v>
      </c>
      <c r="K16" s="67" t="n">
        <f aca="false">((BS!K27-BS!J27)+(BS!K28-BS!J28)+(BS!K29-BS!J29)+(BS!K30-BS!J30))</f>
        <v>-29425.08</v>
      </c>
      <c r="L16" s="67" t="n">
        <f aca="false">((BS!L27-BS!K27)+(BS!L28-BS!K28)+(BS!L29-BS!K29)+(BS!L30-BS!K30))</f>
        <v>-32253.4533333333</v>
      </c>
      <c r="M16" s="67" t="n">
        <f aca="false">((BS!M27-BS!L27)+(BS!M28-BS!L28)+(BS!M29-BS!L29)+(BS!M30-BS!L30))</f>
        <v>-15038.0757944564</v>
      </c>
      <c r="N16" s="67" t="n">
        <f aca="false">((BS!N27-BS!M27)+(BS!N28-BS!M28)+(BS!N29-BS!M29)+(BS!N30-BS!M30))</f>
        <v>-35741.8207833243</v>
      </c>
      <c r="O16" s="67" t="n">
        <f aca="false">((BS!O27-BS!N27)+(BS!O28-BS!N28)+(BS!O29-BS!N29)+(BS!O30-BS!N30))</f>
        <v>6453.46465880771</v>
      </c>
      <c r="P16" s="67" t="n">
        <f aca="false">((BS!P27-BS!O27)+(BS!P28-BS!O28)+(BS!P29-BS!O29)+(BS!P30-BS!O30))</f>
        <v>-26841.3545852309</v>
      </c>
      <c r="Q16" s="67" t="n">
        <f aca="false">((BS!Q27-BS!P27)+(BS!Q28-BS!P28)+(BS!Q29-BS!P29)+(BS!Q30-BS!P30))</f>
        <v>220343.758093636</v>
      </c>
      <c r="R16" s="67" t="n">
        <f aca="false">((BS!R27-BS!Q27)+(BS!R28-BS!Q28)+(BS!R29-BS!Q29)+(BS!R30-BS!Q30))</f>
        <v>-19220.4828849626</v>
      </c>
      <c r="S16" s="67" t="n">
        <f aca="false">((BS!S27-BS!R27)+(BS!S28-BS!R28)+(BS!S29-BS!R29)+(BS!S30-BS!R30))</f>
        <v>-18145.5020378025</v>
      </c>
      <c r="T16" s="67" t="n">
        <f aca="false">((BS!T27-BS!S27)+(BS!T28-BS!S28)+(BS!T29-BS!S29)+(BS!T30-BS!S30))</f>
        <v>-19198</v>
      </c>
      <c r="U16" s="67" t="n">
        <f aca="false">((BS!U27-BS!T27)+(BS!U28-BS!T28)+(BS!U29-BS!T29)+(BS!U30-BS!T30))</f>
        <v>-26542</v>
      </c>
      <c r="V16" s="67" t="n">
        <f aca="false">((BS!V27-BS!U27)+(BS!V28-BS!U28)+(BS!V29-BS!U29)+(BS!V30-BS!U30))</f>
        <v>-18591.6666666667</v>
      </c>
      <c r="W16" s="67" t="n">
        <f aca="false">((BS!W27-BS!V27)+(BS!W28-BS!V28)+(BS!W29-BS!V29)+(BS!W30-BS!V30))</f>
        <v>-24558.3333333333</v>
      </c>
      <c r="X16" s="67" t="n">
        <f aca="false">((BS!X27-BS!W27)+(BS!X28-BS!W28)+(BS!X29-BS!W29)+(BS!X30-BS!W30))</f>
        <v>-28578.9534783233</v>
      </c>
      <c r="Y16" s="67" t="n">
        <f aca="false">((BS!Y27-BS!X27)+(BS!Y28-BS!X28)+(BS!Y29-BS!X29)+(BS!Y30-BS!X30))</f>
        <v>-14333.4465216766</v>
      </c>
      <c r="Z16" s="67" t="n">
        <f aca="false">((BS!Z27-BS!Y27)+(BS!Z28-BS!Y28)+(BS!Z29-BS!Y29)+(BS!Z30-BS!Y30))</f>
        <v>-20547.9333333333</v>
      </c>
      <c r="AA16" s="67" t="n">
        <f aca="false">((BS!AA27-BS!Z27)+(BS!AA28-BS!Z28)+(BS!AA29-BS!Z29)+(BS!AA30-BS!Z30))</f>
        <v>-23834.3333333333</v>
      </c>
      <c r="AB16" s="67" t="n">
        <f aca="false">((BS!AB27-BS!AA27)+(BS!AB28-BS!AA28)+(BS!AB29-BS!AA29)+(BS!AB30-BS!AA30))</f>
        <v>-9860.20000000001</v>
      </c>
    </row>
    <row r="17" customFormat="false" ht="15" hidden="false" customHeight="false" outlineLevel="0" collapsed="false">
      <c r="A17" s="27" t="s">
        <v>518</v>
      </c>
      <c r="B17" s="63" t="s">
        <v>512</v>
      </c>
      <c r="C17" s="66" t="n">
        <f aca="false">SUM(E17:P17)</f>
        <v>22349.9222777885</v>
      </c>
      <c r="D17" s="66" t="n">
        <f aca="false">SUM(Q17:AB17)</f>
        <v>832.510632418736</v>
      </c>
      <c r="E17" s="67" t="n">
        <f aca="false">((BS!E32-Inputs_Actuals!$C$302)+(BS!E33-Inputs_Actuals!$C$303)+(BS!E35-Inputs_Actuals!$C$305)+(BS!E36-Inputs_Actuals!$C$306)+(BS!E37-Inputs_Actuals!$C$307))</f>
        <v>34990.50525</v>
      </c>
      <c r="F17" s="67" t="n">
        <f aca="false">((BS!F32-BS!E32)+(BS!F33-BS!E33)+(BS!F35-BS!E35)+(BS!F36-BS!E36)+(BS!F37-BS!E37))</f>
        <v>33482.784875</v>
      </c>
      <c r="G17" s="67" t="n">
        <f aca="false">((BS!G32-BS!F32)+(BS!G33-BS!F33)+(BS!G35-BS!F35)+(BS!G36-BS!F36)+(BS!G37-BS!F37))</f>
        <v>37951.461375</v>
      </c>
      <c r="H17" s="67" t="n">
        <f aca="false">((BS!H32-BS!G32)+(BS!H33-BS!G33)+(BS!H35-BS!G35)+(BS!H36-BS!G36)+(BS!H37-BS!G37))</f>
        <v>22195.385875</v>
      </c>
      <c r="I17" s="67" t="n">
        <f aca="false">((BS!I32-BS!H32)+(BS!I33-BS!H33)+(BS!I35-BS!H35)+(BS!I36-BS!H36)+(BS!I37-BS!H37))</f>
        <v>31427.816875</v>
      </c>
      <c r="J17" s="67" t="n">
        <f aca="false">((BS!J32-BS!I32)+(BS!J33-BS!I33)+(BS!J35-BS!I35)+(BS!J36-BS!I36)+(BS!J37-BS!I37))</f>
        <v>-71219.016</v>
      </c>
      <c r="K17" s="67" t="n">
        <f aca="false">((BS!K32-BS!J32)+(BS!K33-BS!J33)+(BS!K35-BS!J35)+(BS!K36-BS!J36)+(BS!K37-BS!J37))</f>
        <v>-42301.5895</v>
      </c>
      <c r="L17" s="67" t="n">
        <f aca="false">((BS!L32-BS!K32)+(BS!L33-BS!K33)+(BS!L35-BS!K35)+(BS!L36-BS!K36)+(BS!L37-BS!K37))</f>
        <v>943.914875000006</v>
      </c>
      <c r="M17" s="67" t="n">
        <f aca="false">((BS!M32-BS!L32)+(BS!M33-BS!L33)+(BS!M35-BS!L35)+(BS!M36-BS!L36)+(BS!M37-BS!L37))</f>
        <v>24386.6801858666</v>
      </c>
      <c r="N17" s="67" t="n">
        <f aca="false">((BS!N32-BS!M32)+(BS!N33-BS!M33)+(BS!N35-BS!M35)+(BS!N36-BS!M36)+(BS!N37-BS!M37))</f>
        <v>34191.1753891584</v>
      </c>
      <c r="O17" s="67" t="n">
        <f aca="false">((BS!O32-BS!N32)+(BS!O33-BS!N33)+(BS!O35-BS!N35)+(BS!O36-BS!N36)+(BS!O37-BS!N37))</f>
        <v>-46625.9107924018</v>
      </c>
      <c r="P17" s="67" t="n">
        <f aca="false">((BS!P32-BS!O32)+(BS!P33-BS!O33)+(BS!P35-BS!O35)+(BS!P36-BS!O36)+(BS!P37-BS!O37))</f>
        <v>-37073.2861298348</v>
      </c>
      <c r="Q17" s="67" t="n">
        <f aca="false">((BS!Q32-BS!P32)+(BS!Q33-BS!P33)+(BS!Q35-BS!P35)+(BS!Q36-BS!P36)+(BS!Q37-BS!P37))</f>
        <v>42122.7766344641</v>
      </c>
      <c r="R17" s="67" t="n">
        <f aca="false">((BS!R32-BS!Q32)+(BS!R33-BS!Q33)+(BS!R35-BS!Q35)+(BS!R36-BS!Q36)+(BS!R37-BS!Q37))</f>
        <v>37482.6130805182</v>
      </c>
      <c r="S17" s="67" t="n">
        <f aca="false">((BS!S32-BS!R32)+(BS!S33-BS!R33)+(BS!S35-BS!R35)+(BS!S36-BS!R36)+(BS!S37-BS!R37))</f>
        <v>33569.495862801</v>
      </c>
      <c r="T17" s="67" t="n">
        <f aca="false">((BS!T32-BS!S32)+(BS!T33-BS!S33)+(BS!T35-BS!S35)+(BS!T36-BS!S36)+(BS!T37-BS!S37))</f>
        <v>30782.1831653284</v>
      </c>
      <c r="U17" s="67" t="n">
        <f aca="false">((BS!U32-BS!T32)+(BS!U33-BS!T33)+(BS!U35-BS!T35)+(BS!U36-BS!T36)+(BS!U37-BS!T37))</f>
        <v>33437.3954078882</v>
      </c>
      <c r="V17" s="67" t="n">
        <f aca="false">((BS!V32-BS!U32)+(BS!V33-BS!U33)+(BS!V35-BS!U35)+(BS!V36-BS!U36)+(BS!V37-BS!U37))</f>
        <v>-80201.8889439674</v>
      </c>
      <c r="W17" s="67" t="n">
        <f aca="false">((BS!W32-BS!V32)+(BS!W33-BS!V33)+(BS!W35-BS!V35)+(BS!W36-BS!V36)+(BS!W37-BS!V37))</f>
        <v>-55245.8837402631</v>
      </c>
      <c r="X17" s="67" t="n">
        <f aca="false">((BS!X32-BS!W32)+(BS!X33-BS!W33)+(BS!X35-BS!W35)+(BS!X36-BS!W36)+(BS!X37-BS!W37))</f>
        <v>5153.58596881178</v>
      </c>
      <c r="Y17" s="67" t="n">
        <f aca="false">((BS!Y32-BS!X32)+(BS!Y33-BS!X33)+(BS!Y35-BS!X35)+(BS!Y36-BS!X36)+(BS!Y37-BS!X37))</f>
        <v>31945.4847962811</v>
      </c>
      <c r="Z17" s="67" t="n">
        <f aca="false">((BS!Z32-BS!Y32)+(BS!Z33-BS!Y33)+(BS!Z35-BS!Y35)+(BS!Z36-BS!Y36)+(BS!Z37-BS!Y37))</f>
        <v>37387.8015820097</v>
      </c>
      <c r="AA17" s="67" t="n">
        <f aca="false">((BS!AA32-BS!Z32)+(BS!AA33-BS!Z33)+(BS!AA35-BS!Z35)+(BS!AA36-BS!Z36)+(BS!AA37-BS!Z37))</f>
        <v>-70187.5834796834</v>
      </c>
      <c r="AB17" s="67" t="n">
        <f aca="false">((BS!AB32-BS!AA32)+(BS!AB33-BS!AA33)+(BS!AB35-BS!AA35)+(BS!AB36-BS!AA36)+(BS!AB37-BS!AA37))</f>
        <v>-45413.4697017697</v>
      </c>
    </row>
    <row r="18" customFormat="false" ht="15" hidden="false" customHeight="false" outlineLevel="0" collapsed="false">
      <c r="A18" s="27" t="s">
        <v>519</v>
      </c>
      <c r="B18" s="63" t="s">
        <v>512</v>
      </c>
      <c r="C18" s="66" t="n">
        <f aca="false">SUM(E18:P18)</f>
        <v>-187440.168284144</v>
      </c>
      <c r="D18" s="66" t="n">
        <f aca="false">SUM(Q18:AB18)</f>
        <v>127371.344660249</v>
      </c>
      <c r="E18" s="67" t="n">
        <f aca="false">((BS!E31-Inputs_Actuals!$C$301)+(BS!E34-Inputs_Actuals!$C$304)+(BS!E38-Inputs_Actuals!$C$308))</f>
        <v>-11383.4133671317</v>
      </c>
      <c r="F18" s="67" t="n">
        <f aca="false">((BS!F31-BS!E31)+(BS!F34-BS!E34)+(BS!F38-BS!E38))</f>
        <v>-11542.8316492541</v>
      </c>
      <c r="G18" s="67" t="n">
        <f aca="false">((BS!G31-BS!F31)+(BS!G34-BS!F34)+(BS!G38-BS!F38))</f>
        <v>-4128.26195578392</v>
      </c>
      <c r="H18" s="67" t="n">
        <f aca="false">((BS!H31-BS!G31)+(BS!H34-BS!G34)+(BS!H38-BS!G38))</f>
        <v>32996.2997023564</v>
      </c>
      <c r="I18" s="67" t="n">
        <f aca="false">((BS!I31-BS!H31)+(BS!I34-BS!H34)+(BS!I38-BS!H38))</f>
        <v>19175.0578528167</v>
      </c>
      <c r="J18" s="67" t="n">
        <f aca="false">((BS!J31-BS!I31)+(BS!J34-BS!I34)+(BS!J38-BS!I38))</f>
        <v>-129775.653020198</v>
      </c>
      <c r="K18" s="67" t="n">
        <f aca="false">((BS!K31-BS!J31)+(BS!K34-BS!J34)+(BS!K38-BS!J38))</f>
        <v>-57520.6476511835</v>
      </c>
      <c r="L18" s="67" t="n">
        <f aca="false">((BS!L31-BS!K31)+(BS!L34-BS!K34)+(BS!L38-BS!K38))</f>
        <v>58060.5316679198</v>
      </c>
      <c r="M18" s="67" t="n">
        <f aca="false">((BS!M31-BS!L31)+(BS!M34-BS!L34)+(BS!M38-BS!L38))</f>
        <v>-103113.862769506</v>
      </c>
      <c r="N18" s="67" t="n">
        <f aca="false">((BS!N31-BS!M31)+(BS!N34-BS!M34)+(BS!N38-BS!M38))</f>
        <v>10087.4417794066</v>
      </c>
      <c r="O18" s="67" t="n">
        <f aca="false">((BS!O31-BS!N31)+(BS!O34-BS!N34)+(BS!O38-BS!N38))</f>
        <v>50844.8718942132</v>
      </c>
      <c r="P18" s="67" t="n">
        <f aca="false">((BS!P31-BS!O31)+(BS!P34-BS!O34)+(BS!P38-BS!O38))</f>
        <v>-41139.7007677996</v>
      </c>
      <c r="Q18" s="67" t="n">
        <f aca="false">((BS!Q31-BS!P31)+(BS!Q34-BS!P34)+(BS!Q38-BS!P38))</f>
        <v>542.18025124463</v>
      </c>
      <c r="R18" s="67" t="n">
        <f aca="false">((BS!R31-BS!Q31)+(BS!R34-BS!Q34)+(BS!R38-BS!Q38))</f>
        <v>12717.3078703656</v>
      </c>
      <c r="S18" s="67" t="n">
        <f aca="false">((BS!S31-BS!R31)+(BS!S34-BS!R34)+(BS!S38-BS!R38))</f>
        <v>3318.8326162843</v>
      </c>
      <c r="T18" s="67" t="n">
        <f aca="false">((BS!T31-BS!S31)+(BS!T34-BS!S34)+(BS!T38-BS!S38))</f>
        <v>17608.2972662961</v>
      </c>
      <c r="U18" s="67" t="n">
        <f aca="false">((BS!U31-BS!T31)+(BS!U34-BS!T34)+(BS!U38-BS!T38))</f>
        <v>12689.4883964145</v>
      </c>
      <c r="V18" s="67" t="n">
        <f aca="false">((BS!V31-BS!U31)+(BS!V34-BS!U34)+(BS!V38-BS!U38))</f>
        <v>14047.5395199178</v>
      </c>
      <c r="W18" s="67" t="n">
        <f aca="false">((BS!W31-BS!V31)+(BS!W34-BS!V34)+(BS!W38-BS!V38))</f>
        <v>-19738.9564361864</v>
      </c>
      <c r="X18" s="67" t="n">
        <f aca="false">((BS!X31-BS!W31)+(BS!X34-BS!W34)+(BS!X38-BS!W38))</f>
        <v>71983.5800961007</v>
      </c>
      <c r="Y18" s="67" t="n">
        <f aca="false">((BS!Y31-BS!X31)+(BS!Y34-BS!X34)+(BS!Y38-BS!X38))</f>
        <v>-16552.7520987933</v>
      </c>
      <c r="Z18" s="67" t="n">
        <f aca="false">((BS!Z31-BS!Y31)+(BS!Z34-BS!Y34)+(BS!Z38-BS!Y38))</f>
        <v>17822.8624084321</v>
      </c>
      <c r="AA18" s="67" t="n">
        <f aca="false">((BS!AA31-BS!Z31)+(BS!AA34-BS!Z34)+(BS!AA38-BS!Z38))</f>
        <v>32577.8516710468</v>
      </c>
      <c r="AB18" s="67" t="n">
        <f aca="false">((BS!AB31-BS!AA31)+(BS!AB34-BS!AA34)+(BS!AB38-BS!AA38))</f>
        <v>-19644.8869008735</v>
      </c>
    </row>
    <row r="19" customFormat="false" ht="15" hidden="false" customHeight="false" outlineLevel="0" collapsed="false">
      <c r="A19" s="27" t="s">
        <v>520</v>
      </c>
      <c r="B19" s="63" t="s">
        <v>512</v>
      </c>
      <c r="C19" s="66" t="n">
        <f aca="false">SUM(E19:P19)</f>
        <v>0</v>
      </c>
      <c r="D19" s="66" t="n">
        <f aca="false">SUM(Q19:AB19)</f>
        <v>0</v>
      </c>
      <c r="E19" s="67" t="n">
        <f aca="false">((BS!E41-Inputs_Actuals!$C$311))</f>
        <v>0</v>
      </c>
      <c r="F19" s="67" t="n">
        <f aca="false">((BS!F41-BS!E41))</f>
        <v>0</v>
      </c>
      <c r="G19" s="67" t="n">
        <f aca="false">((BS!G41-BS!F41))</f>
        <v>0</v>
      </c>
      <c r="H19" s="67" t="n">
        <f aca="false">((BS!H41-BS!G41))</f>
        <v>0</v>
      </c>
      <c r="I19" s="67" t="n">
        <f aca="false">((BS!I41-BS!H41))</f>
        <v>0</v>
      </c>
      <c r="J19" s="67" t="n">
        <f aca="false">((BS!J41-BS!I41))</f>
        <v>10147.14</v>
      </c>
      <c r="K19" s="67" t="n">
        <f aca="false">((BS!K41-BS!J41))</f>
        <v>-4731.43</v>
      </c>
      <c r="L19" s="67" t="n">
        <f aca="false">((BS!L41-BS!K41))</f>
        <v>-2908.57</v>
      </c>
      <c r="M19" s="67" t="n">
        <f aca="false">((BS!M41-BS!L41))</f>
        <v>-835.711428571449</v>
      </c>
      <c r="N19" s="67" t="n">
        <f aca="false">((BS!N41-BS!M41))</f>
        <v>-835.714285714257</v>
      </c>
      <c r="O19" s="67" t="n">
        <f aca="false">((BS!O41-BS!N41))</f>
        <v>-835.714285714294</v>
      </c>
      <c r="P19" s="67" t="n">
        <f aca="false">((BS!P41-BS!O41))</f>
        <v>0</v>
      </c>
      <c r="Q19" s="67" t="n">
        <f aca="false">((BS!Q41-BS!P41))</f>
        <v>0</v>
      </c>
      <c r="R19" s="67" t="n">
        <f aca="false">((BS!R41-BS!Q41))</f>
        <v>0</v>
      </c>
      <c r="S19" s="67" t="n">
        <f aca="false">((BS!S41-BS!R41))</f>
        <v>0</v>
      </c>
      <c r="T19" s="67" t="n">
        <f aca="false">((BS!T41-BS!S41))</f>
        <v>0</v>
      </c>
      <c r="U19" s="67" t="n">
        <f aca="false">((BS!U41-BS!T41))</f>
        <v>0</v>
      </c>
      <c r="V19" s="67" t="n">
        <f aca="false">((BS!V41-BS!U41))</f>
        <v>0</v>
      </c>
      <c r="W19" s="67" t="n">
        <f aca="false">((BS!W41-BS!V41))</f>
        <v>0</v>
      </c>
      <c r="X19" s="67" t="n">
        <f aca="false">((BS!X41-BS!W41))</f>
        <v>0</v>
      </c>
      <c r="Y19" s="67" t="n">
        <f aca="false">((BS!Y41-BS!X41))</f>
        <v>0</v>
      </c>
      <c r="Z19" s="67" t="n">
        <f aca="false">((BS!Z41-BS!Y41))</f>
        <v>0</v>
      </c>
      <c r="AA19" s="67" t="n">
        <f aca="false">((BS!AA41-BS!Z41))</f>
        <v>0</v>
      </c>
      <c r="AB19" s="67" t="n">
        <f aca="false">((BS!AB41-BS!AA41))</f>
        <v>0</v>
      </c>
    </row>
    <row r="20" customFormat="false" ht="15" hidden="false" customHeight="false" outlineLevel="0" collapsed="false">
      <c r="A20" s="59" t="s">
        <v>521</v>
      </c>
      <c r="B20" s="60"/>
      <c r="C20" s="61" t="n">
        <f aca="false">SUM(E20:P20)</f>
        <v>559124.861019419</v>
      </c>
      <c r="D20" s="61" t="n">
        <f aca="false">SUM(Q20:AB20)</f>
        <v>942939.53500045</v>
      </c>
      <c r="E20" s="61" t="n">
        <f aca="false">E9+E10+E11+E12+E13+E14+E15+E16+E17+E18+E19</f>
        <v>166419.0315</v>
      </c>
      <c r="F20" s="61" t="n">
        <f aca="false">F9+F10+F11+F12+F13+F14+F15+F16+F17+F18+F19</f>
        <v>146403.80205</v>
      </c>
      <c r="G20" s="61" t="n">
        <f aca="false">G9+G10+G11+G12+G13+G14+G15+G16+G17+G18+G19</f>
        <v>140079.383075</v>
      </c>
      <c r="H20" s="61" t="n">
        <f aca="false">H9+H10+H11+H12+H13+H14+H15+H16+H17+H18+H19</f>
        <v>5660.69309999988</v>
      </c>
      <c r="I20" s="61" t="n">
        <f aca="false">I9+I10+I11+I12+I13+I14+I15+I16+I17+I18+I19</f>
        <v>189944.805625</v>
      </c>
      <c r="J20" s="61" t="n">
        <f aca="false">J9+J10+J11+J12+J13+J14+J15+J16+J17+J18+J19</f>
        <v>-133528.0479</v>
      </c>
      <c r="K20" s="61" t="n">
        <f aca="false">K9+K10+K11+K12+K13+K14+K15+K16+K17+K18+K19</f>
        <v>-124378.0867</v>
      </c>
      <c r="L20" s="61" t="n">
        <f aca="false">L9+L10+L11+L12+L13+L14+L15+L16+L17+L18+L19</f>
        <v>157517.9421</v>
      </c>
      <c r="M20" s="61" t="n">
        <f aca="false">M9+M10+M11+M12+M13+M14+M15+M16+M17+M18+M19</f>
        <v>-1016.33535111547</v>
      </c>
      <c r="N20" s="61" t="n">
        <f aca="false">N9+N10+N11+N12+N13+N14+N15+N16+N17+N18+N19</f>
        <v>-19371.6943182167</v>
      </c>
      <c r="O20" s="61" t="n">
        <f aca="false">O9+O10+O11+O12+O13+O14+O15+O16+O17+O18+O19</f>
        <v>-19837.2683829747</v>
      </c>
      <c r="P20" s="61" t="n">
        <f aca="false">P9+P10+P11+P12+P13+P14+P15+P16+P17+P18+P19</f>
        <v>51230.6362217267</v>
      </c>
      <c r="Q20" s="61" t="n">
        <f aca="false">Q9+Q10+Q11+Q12+Q13+Q14+Q15+Q16+Q17+Q18+Q19</f>
        <v>111963.379088647</v>
      </c>
      <c r="R20" s="61" t="n">
        <f aca="false">R9+R10+R11+R12+R13+R14+R15+R16+R17+R18+R19</f>
        <v>104506.615220444</v>
      </c>
      <c r="S20" s="61" t="n">
        <f aca="false">S9+S10+S11+S12+S13+S14+S15+S16+S17+S18+S19</f>
        <v>167679.988969246</v>
      </c>
      <c r="T20" s="61" t="n">
        <f aca="false">T9+T10+T11+T12+T13+T14+T15+T16+T17+T18+T19</f>
        <v>77445.9100854731</v>
      </c>
      <c r="U20" s="61" t="n">
        <f aca="false">U9+U10+U11+U12+U13+U14+U15+U16+U17+U18+U19</f>
        <v>145340.995270918</v>
      </c>
      <c r="V20" s="61" t="n">
        <f aca="false">V9+V10+V11+V12+V13+V14+V15+V16+V17+V18+V19</f>
        <v>-17659.2457498568</v>
      </c>
      <c r="W20" s="61" t="n">
        <f aca="false">W9+W10+W11+W12+W13+W14+W15+W16+W17+W18+W19</f>
        <v>-33593.5206025871</v>
      </c>
      <c r="X20" s="61" t="n">
        <f aca="false">X9+X10+X11+X12+X13+X14+X15+X16+X17+X18+X19</f>
        <v>229221.393907136</v>
      </c>
      <c r="Y20" s="61" t="n">
        <f aca="false">Y9+Y10+Y11+Y12+Y13+Y14+Y15+Y16+Y17+Y18+Y19</f>
        <v>112714.277629268</v>
      </c>
      <c r="Z20" s="61" t="n">
        <f aca="false">Z9+Z10+Z11+Z12+Z13+Z14+Z15+Z16+Z17+Z18+Z19</f>
        <v>-23809.0863271871</v>
      </c>
      <c r="AA20" s="61" t="n">
        <f aca="false">AA9+AA10+AA11+AA12+AA13+AA14+AA15+AA16+AA17+AA18+AA19</f>
        <v>27029.2145193134</v>
      </c>
      <c r="AB20" s="61" t="n">
        <f aca="false">AB9+AB10+AB11+AB12+AB13+AB14+AB15+AB16+AB17+AB18+AB19</f>
        <v>42099.6129896364</v>
      </c>
    </row>
    <row r="21" customFormat="false" ht="15" hidden="false" customHeight="false" outlineLevel="0" collapsed="false">
      <c r="A21" s="21" t="s">
        <v>522</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row>
    <row r="22" customFormat="false" ht="15" hidden="false" customHeight="false" outlineLevel="0" collapsed="false">
      <c r="A22" s="27" t="s">
        <v>523</v>
      </c>
      <c r="B22" s="63" t="s">
        <v>77</v>
      </c>
      <c r="C22" s="66" t="n">
        <f aca="false">SUM(E22:P22)</f>
        <v>-44899.3778472222</v>
      </c>
      <c r="D22" s="66" t="n">
        <f aca="false">SUM(Q22:AB22)</f>
        <v>-42947.628537782</v>
      </c>
      <c r="E22" s="67" t="n">
        <f aca="false">-Fixed_Assets!E8</f>
        <v>-1800</v>
      </c>
      <c r="F22" s="67" t="n">
        <f aca="false">-Fixed_Assets!F8</f>
        <v>-3100</v>
      </c>
      <c r="G22" s="67" t="n">
        <f aca="false">-Fixed_Assets!G8</f>
        <v>-12900</v>
      </c>
      <c r="H22" s="67" t="n">
        <f aca="false">-Fixed_Assets!H8</f>
        <v>-1800</v>
      </c>
      <c r="I22" s="67" t="n">
        <f aca="false">-Fixed_Assets!I8</f>
        <v>-1800</v>
      </c>
      <c r="J22" s="67" t="n">
        <f aca="false">-Fixed_Assets!J8</f>
        <v>-3100</v>
      </c>
      <c r="K22" s="67" t="n">
        <f aca="false">-Fixed_Assets!K8</f>
        <v>-3100</v>
      </c>
      <c r="L22" s="67" t="n">
        <f aca="false">-Fixed_Assets!L8</f>
        <v>-1800</v>
      </c>
      <c r="M22" s="67" t="n">
        <f aca="false">-Fixed_Assets!M8</f>
        <v>-1800</v>
      </c>
      <c r="N22" s="67" t="n">
        <f aca="false">-Fixed_Assets!N8</f>
        <v>-5700</v>
      </c>
      <c r="O22" s="67" t="n">
        <f aca="false">-Fixed_Assets!O8</f>
        <v>-5304.58333333333</v>
      </c>
      <c r="P22" s="67" t="n">
        <f aca="false">-Fixed_Assets!P8</f>
        <v>-2694.79451388889</v>
      </c>
      <c r="Q22" s="67" t="n">
        <f aca="false">-Fixed_Assets!Q8</f>
        <v>-7930.61522019676</v>
      </c>
      <c r="R22" s="67" t="n">
        <f aca="false">-Fixed_Assets!R8</f>
        <v>-2760.63552144006</v>
      </c>
      <c r="S22" s="67" t="n">
        <f aca="false">-Fixed_Assets!S8</f>
        <v>-4059.86278169281</v>
      </c>
      <c r="T22" s="67" t="n">
        <f aca="false">-Fixed_Assets!T8</f>
        <v>-4116.9383088851</v>
      </c>
      <c r="U22" s="67" t="n">
        <f aca="false">-Fixed_Assets!U8</f>
        <v>-2816.30403920443</v>
      </c>
      <c r="V22" s="67" t="n">
        <f aca="false">-Fixed_Assets!V8</f>
        <v>-4130.83466178368</v>
      </c>
      <c r="W22" s="67" t="n">
        <f aca="false">-Fixed_Assets!W8</f>
        <v>-2845.83894128163</v>
      </c>
      <c r="X22" s="67" t="n">
        <f aca="false">-Fixed_Assets!X8</f>
        <v>-2845.49423695115</v>
      </c>
      <c r="Y22" s="67" t="n">
        <f aca="false">-Fixed_Assets!Y8</f>
        <v>-2860.48987643872</v>
      </c>
      <c r="Z22" s="67" t="n">
        <f aca="false">-Fixed_Assets!Z8</f>
        <v>-2860.31894928629</v>
      </c>
      <c r="AA22" s="67" t="n">
        <f aca="false">-Fixed_Assets!AA8</f>
        <v>-2860.14599432971</v>
      </c>
      <c r="AB22" s="67" t="n">
        <f aca="false">-Fixed_Assets!AB8</f>
        <v>-2860.15000629167</v>
      </c>
    </row>
    <row r="23" customFormat="false" ht="15" hidden="false" customHeight="false" outlineLevel="0" collapsed="false">
      <c r="A23" s="59" t="s">
        <v>524</v>
      </c>
      <c r="B23" s="60"/>
      <c r="C23" s="61" t="n">
        <f aca="false">SUM(E23:P23)</f>
        <v>-44899.3778472222</v>
      </c>
      <c r="D23" s="61" t="n">
        <f aca="false">SUM(Q23:AB23)</f>
        <v>-42947.628537782</v>
      </c>
      <c r="E23" s="61" t="n">
        <f aca="false">E22</f>
        <v>-1800</v>
      </c>
      <c r="F23" s="61" t="n">
        <f aca="false">F22</f>
        <v>-3100</v>
      </c>
      <c r="G23" s="61" t="n">
        <f aca="false">G22</f>
        <v>-12900</v>
      </c>
      <c r="H23" s="61" t="n">
        <f aca="false">H22</f>
        <v>-1800</v>
      </c>
      <c r="I23" s="61" t="n">
        <f aca="false">I22</f>
        <v>-1800</v>
      </c>
      <c r="J23" s="61" t="n">
        <f aca="false">J22</f>
        <v>-3100</v>
      </c>
      <c r="K23" s="61" t="n">
        <f aca="false">K22</f>
        <v>-3100</v>
      </c>
      <c r="L23" s="61" t="n">
        <f aca="false">L22</f>
        <v>-1800</v>
      </c>
      <c r="M23" s="61" t="n">
        <f aca="false">M22</f>
        <v>-1800</v>
      </c>
      <c r="N23" s="61" t="n">
        <f aca="false">N22</f>
        <v>-5700</v>
      </c>
      <c r="O23" s="61" t="n">
        <f aca="false">O22</f>
        <v>-5304.58333333333</v>
      </c>
      <c r="P23" s="61" t="n">
        <f aca="false">P22</f>
        <v>-2694.79451388889</v>
      </c>
      <c r="Q23" s="61" t="n">
        <f aca="false">Q22</f>
        <v>-7930.61522019676</v>
      </c>
      <c r="R23" s="61" t="n">
        <f aca="false">R22</f>
        <v>-2760.63552144006</v>
      </c>
      <c r="S23" s="61" t="n">
        <f aca="false">S22</f>
        <v>-4059.86278169281</v>
      </c>
      <c r="T23" s="61" t="n">
        <f aca="false">T22</f>
        <v>-4116.9383088851</v>
      </c>
      <c r="U23" s="61" t="n">
        <f aca="false">U22</f>
        <v>-2816.30403920443</v>
      </c>
      <c r="V23" s="61" t="n">
        <f aca="false">V22</f>
        <v>-4130.83466178368</v>
      </c>
      <c r="W23" s="61" t="n">
        <f aca="false">W22</f>
        <v>-2845.83894128163</v>
      </c>
      <c r="X23" s="61" t="n">
        <f aca="false">X22</f>
        <v>-2845.49423695115</v>
      </c>
      <c r="Y23" s="61" t="n">
        <f aca="false">Y22</f>
        <v>-2860.48987643872</v>
      </c>
      <c r="Z23" s="61" t="n">
        <f aca="false">Z22</f>
        <v>-2860.31894928629</v>
      </c>
      <c r="AA23" s="61" t="n">
        <f aca="false">AA22</f>
        <v>-2860.14599432971</v>
      </c>
      <c r="AB23" s="61" t="n">
        <f aca="false">AB22</f>
        <v>-2860.15000629167</v>
      </c>
    </row>
    <row r="24" customFormat="false" ht="15" hidden="false" customHeight="false" outlineLevel="0" collapsed="false">
      <c r="A24" s="21" t="s">
        <v>525</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row>
    <row r="25" customFormat="false" ht="15" hidden="false" customHeight="false" outlineLevel="0" collapsed="false">
      <c r="A25" s="27" t="s">
        <v>526</v>
      </c>
      <c r="B25" s="63" t="s">
        <v>512</v>
      </c>
      <c r="C25" s="66" t="n">
        <f aca="false">SUM(E25:P25)</f>
        <v>-399999.96</v>
      </c>
      <c r="D25" s="66" t="n">
        <f aca="false">SUM(Q25:AB25)</f>
        <v>-399999.96</v>
      </c>
      <c r="E25" s="67" t="n">
        <f aca="false">(BS!E42-Inputs_Actuals!$C$309)</f>
        <v>-33333.3300000001</v>
      </c>
      <c r="F25" s="67" t="n">
        <f aca="false">(BS!F42-BS!E42)</f>
        <v>-33333.3300000001</v>
      </c>
      <c r="G25" s="67" t="n">
        <f aca="false">(BS!G42-BS!F42)</f>
        <v>-33333.3300000001</v>
      </c>
      <c r="H25" s="67" t="n">
        <f aca="false">(BS!H42-BS!G42)</f>
        <v>-33333.3300000001</v>
      </c>
      <c r="I25" s="67" t="n">
        <f aca="false">(BS!I42-BS!H42)</f>
        <v>-33333.3300000001</v>
      </c>
      <c r="J25" s="67" t="n">
        <f aca="false">(BS!J42-BS!I42)</f>
        <v>-33333.3300000001</v>
      </c>
      <c r="K25" s="67" t="n">
        <f aca="false">(BS!K42-BS!J42)</f>
        <v>-33333.3300000001</v>
      </c>
      <c r="L25" s="67" t="n">
        <f aca="false">(BS!L42-BS!K42)</f>
        <v>-33333.33</v>
      </c>
      <c r="M25" s="67" t="n">
        <f aca="false">(BS!M42-BS!L42)</f>
        <v>-33333.33</v>
      </c>
      <c r="N25" s="67" t="n">
        <f aca="false">(BS!N42-BS!M42)</f>
        <v>-33333.33</v>
      </c>
      <c r="O25" s="67" t="n">
        <f aca="false">(BS!O42-BS!N42)</f>
        <v>-33333.33</v>
      </c>
      <c r="P25" s="67" t="n">
        <f aca="false">(BS!P42-BS!O42)</f>
        <v>-33333.33</v>
      </c>
      <c r="Q25" s="67" t="n">
        <f aca="false">(BS!Q42-BS!P42)</f>
        <v>-33333.33</v>
      </c>
      <c r="R25" s="67" t="n">
        <f aca="false">(BS!R42-BS!Q42)</f>
        <v>-33333.33</v>
      </c>
      <c r="S25" s="67" t="n">
        <f aca="false">(BS!S42-BS!R42)</f>
        <v>-33333.33</v>
      </c>
      <c r="T25" s="67" t="n">
        <f aca="false">(BS!T42-BS!S42)</f>
        <v>-33333.33</v>
      </c>
      <c r="U25" s="67" t="n">
        <f aca="false">(BS!U42-BS!T42)</f>
        <v>-33333.33</v>
      </c>
      <c r="V25" s="67" t="n">
        <f aca="false">(BS!V42-BS!U42)</f>
        <v>-33333.33</v>
      </c>
      <c r="W25" s="67" t="n">
        <f aca="false">(BS!W42-BS!V42)</f>
        <v>-33333.33</v>
      </c>
      <c r="X25" s="67" t="n">
        <f aca="false">(BS!X42-BS!W42)</f>
        <v>-33333.33</v>
      </c>
      <c r="Y25" s="67" t="n">
        <f aca="false">(BS!Y42-BS!X42)</f>
        <v>-33333.33</v>
      </c>
      <c r="Z25" s="67" t="n">
        <f aca="false">(BS!Z42-BS!Y42)</f>
        <v>-33333.33</v>
      </c>
      <c r="AA25" s="67" t="n">
        <f aca="false">(BS!AA42-BS!Z42)</f>
        <v>-33333.33</v>
      </c>
      <c r="AB25" s="67" t="n">
        <f aca="false">(BS!AB42-BS!AA42)</f>
        <v>-33333.33</v>
      </c>
    </row>
    <row r="26" customFormat="false" ht="15" hidden="false" customHeight="false" outlineLevel="0" collapsed="false">
      <c r="A26" s="27" t="s">
        <v>527</v>
      </c>
      <c r="B26" s="63" t="s">
        <v>528</v>
      </c>
      <c r="C26" s="66" t="n">
        <f aca="false">SUM(E26:P26)</f>
        <v>-360000</v>
      </c>
      <c r="D26" s="66" t="n">
        <f aca="false">SUM(Q26:AB26)</f>
        <v>0</v>
      </c>
      <c r="E26" s="67" t="n">
        <f aca="false">-Financing!E26+(BS!E39-0)+(BS!E40-Inputs_Actuals!$C$310)</f>
        <v>0</v>
      </c>
      <c r="F26" s="67" t="n">
        <f aca="false">-Financing!F26+(BS!F39-BS!E39)+(BS!F40-BS!E40)</f>
        <v>0</v>
      </c>
      <c r="G26" s="67" t="n">
        <f aca="false">-Financing!G26+(BS!G39-BS!F39)+(BS!G40-BS!F40)</f>
        <v>0</v>
      </c>
      <c r="H26" s="67" t="n">
        <f aca="false">-Financing!H26+(BS!H39-BS!G39)+(BS!H40-BS!G40)</f>
        <v>0</v>
      </c>
      <c r="I26" s="67" t="n">
        <f aca="false">-Financing!I26+(BS!I39-BS!H39)+(BS!I40-BS!H40)</f>
        <v>-259200</v>
      </c>
      <c r="J26" s="67" t="n">
        <f aca="false">-Financing!J26+(BS!J39-BS!I39)+(BS!J40-BS!I40)</f>
        <v>-100800</v>
      </c>
      <c r="K26" s="67" t="n">
        <f aca="false">-Financing!K26+(BS!K39-BS!J39)+(BS!K40-BS!J40)</f>
        <v>0</v>
      </c>
      <c r="L26" s="67" t="n">
        <f aca="false">-Financing!L26+(BS!L39-BS!K39)+(BS!L40-BS!K40)</f>
        <v>0</v>
      </c>
      <c r="M26" s="67" t="n">
        <f aca="false">-Financing!M26+(BS!M39-BS!L39)+(BS!M40-BS!L40)</f>
        <v>0</v>
      </c>
      <c r="N26" s="67" t="n">
        <f aca="false">-Financing!N26+(BS!N39-BS!M39)+(BS!N40-BS!M40)</f>
        <v>0</v>
      </c>
      <c r="O26" s="67" t="n">
        <f aca="false">-Financing!O26+(BS!O39-BS!N39)+(BS!O40-BS!N40)</f>
        <v>0</v>
      </c>
      <c r="P26" s="67" t="n">
        <f aca="false">-Financing!P26+(BS!P39-BS!O39)+(BS!P40-BS!O40)</f>
        <v>0</v>
      </c>
      <c r="Q26" s="67" t="n">
        <f aca="false">-Financing!Q26+(BS!Q39-BS!P39)+(BS!Q40-BS!P40)</f>
        <v>0</v>
      </c>
      <c r="R26" s="67" t="n">
        <f aca="false">-Financing!R26+(BS!R39-BS!Q39)+(BS!R40-BS!Q40)</f>
        <v>0</v>
      </c>
      <c r="S26" s="67" t="n">
        <f aca="false">-Financing!S26+(BS!S39-BS!R39)+(BS!S40-BS!R40)</f>
        <v>0</v>
      </c>
      <c r="T26" s="67" t="n">
        <f aca="false">-Financing!T26+(BS!T39-BS!S39)+(BS!T40-BS!S40)</f>
        <v>0</v>
      </c>
      <c r="U26" s="67" t="n">
        <f aca="false">-Financing!U26+(BS!U39-BS!T39)+(BS!U40-BS!T40)</f>
        <v>0</v>
      </c>
      <c r="V26" s="67" t="n">
        <f aca="false">-Financing!V26+(BS!V39-BS!U39)+(BS!V40-BS!U40)</f>
        <v>0</v>
      </c>
      <c r="W26" s="67" t="n">
        <f aca="false">-Financing!W26+(BS!W39-BS!V39)+(BS!W40-BS!V40)</f>
        <v>0</v>
      </c>
      <c r="X26" s="67" t="n">
        <f aca="false">-Financing!X26+(BS!X39-BS!W39)+(BS!X40-BS!W40)</f>
        <v>0</v>
      </c>
      <c r="Y26" s="67" t="n">
        <f aca="false">-Financing!Y26+(BS!Y39-BS!X39)+(BS!Y40-BS!X40)</f>
        <v>0</v>
      </c>
      <c r="Z26" s="67" t="n">
        <f aca="false">-Financing!Z26+(BS!Z39-BS!Y39)+(BS!Z40-BS!Y40)</f>
        <v>0</v>
      </c>
      <c r="AA26" s="67" t="n">
        <f aca="false">-Financing!AA26+(BS!AA39-BS!Z39)+(BS!AA40-BS!Z40)</f>
        <v>0</v>
      </c>
      <c r="AB26" s="67" t="n">
        <f aca="false">-Financing!AB26+(BS!AB39-BS!AA39)+(BS!AB40-BS!AA40)</f>
        <v>0</v>
      </c>
    </row>
    <row r="27" customFormat="false" ht="15" hidden="false" customHeight="false" outlineLevel="0" collapsed="false">
      <c r="A27" s="59" t="s">
        <v>529</v>
      </c>
      <c r="B27" s="60"/>
      <c r="C27" s="61" t="n">
        <f aca="false">SUM(E27:P27)</f>
        <v>-759999.96</v>
      </c>
      <c r="D27" s="61" t="n">
        <f aca="false">SUM(Q27:AB27)</f>
        <v>-399999.96</v>
      </c>
      <c r="E27" s="61" t="n">
        <f aca="false">E25+E26</f>
        <v>-33333.3300000001</v>
      </c>
      <c r="F27" s="61" t="n">
        <f aca="false">F25+F26</f>
        <v>-33333.3300000001</v>
      </c>
      <c r="G27" s="61" t="n">
        <f aca="false">G25+G26</f>
        <v>-33333.3300000001</v>
      </c>
      <c r="H27" s="61" t="n">
        <f aca="false">H25+H26</f>
        <v>-33333.3300000001</v>
      </c>
      <c r="I27" s="61" t="n">
        <f aca="false">I25+I26</f>
        <v>-292533.33</v>
      </c>
      <c r="J27" s="61" t="n">
        <f aca="false">J25+J26</f>
        <v>-134133.33</v>
      </c>
      <c r="K27" s="61" t="n">
        <f aca="false">K25+K26</f>
        <v>-33333.3300000001</v>
      </c>
      <c r="L27" s="61" t="n">
        <f aca="false">L25+L26</f>
        <v>-33333.33</v>
      </c>
      <c r="M27" s="61" t="n">
        <f aca="false">M25+M26</f>
        <v>-33333.33</v>
      </c>
      <c r="N27" s="61" t="n">
        <f aca="false">N25+N26</f>
        <v>-33333.33</v>
      </c>
      <c r="O27" s="61" t="n">
        <f aca="false">O25+O26</f>
        <v>-33333.33</v>
      </c>
      <c r="P27" s="61" t="n">
        <f aca="false">P25+P26</f>
        <v>-33333.33</v>
      </c>
      <c r="Q27" s="61" t="n">
        <f aca="false">Q25+Q26</f>
        <v>-33333.33</v>
      </c>
      <c r="R27" s="61" t="n">
        <f aca="false">R25+R26</f>
        <v>-33333.33</v>
      </c>
      <c r="S27" s="61" t="n">
        <f aca="false">S25+S26</f>
        <v>-33333.33</v>
      </c>
      <c r="T27" s="61" t="n">
        <f aca="false">T25+T26</f>
        <v>-33333.33</v>
      </c>
      <c r="U27" s="61" t="n">
        <f aca="false">U25+U26</f>
        <v>-33333.33</v>
      </c>
      <c r="V27" s="61" t="n">
        <f aca="false">V25+V26</f>
        <v>-33333.33</v>
      </c>
      <c r="W27" s="61" t="n">
        <f aca="false">W25+W26</f>
        <v>-33333.33</v>
      </c>
      <c r="X27" s="61" t="n">
        <f aca="false">X25+X26</f>
        <v>-33333.33</v>
      </c>
      <c r="Y27" s="61" t="n">
        <f aca="false">Y25+Y26</f>
        <v>-33333.33</v>
      </c>
      <c r="Z27" s="61" t="n">
        <f aca="false">Z25+Z26</f>
        <v>-33333.33</v>
      </c>
      <c r="AA27" s="61" t="n">
        <f aca="false">AA25+AA26</f>
        <v>-33333.33</v>
      </c>
      <c r="AB27" s="61" t="n">
        <f aca="false">AB25+AB26</f>
        <v>-33333.33</v>
      </c>
    </row>
    <row r="28" customFormat="false" ht="15" hidden="false" customHeight="false" outlineLevel="0" collapsed="false">
      <c r="A28" s="21" t="s">
        <v>530</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row>
    <row r="29" customFormat="false" ht="15" hidden="false" customHeight="false" outlineLevel="0" collapsed="false">
      <c r="A29" s="59" t="s">
        <v>531</v>
      </c>
      <c r="B29" s="60"/>
      <c r="C29" s="61" t="n">
        <f aca="false">SUM(E29:P29)</f>
        <v>-245774.476827804</v>
      </c>
      <c r="D29" s="61" t="n">
        <f aca="false">SUM(Q29:AB29)</f>
        <v>499991.946462669</v>
      </c>
      <c r="E29" s="61" t="n">
        <f aca="false">E20+E23+E27</f>
        <v>131285.7015</v>
      </c>
      <c r="F29" s="61" t="n">
        <f aca="false">F20+F23+F27</f>
        <v>109970.47205</v>
      </c>
      <c r="G29" s="61" t="n">
        <f aca="false">G20+G23+G27</f>
        <v>93846.053075</v>
      </c>
      <c r="H29" s="61" t="n">
        <f aca="false">H20+H23+H27</f>
        <v>-29472.6369000002</v>
      </c>
      <c r="I29" s="61" t="n">
        <f aca="false">I20+I23+I27</f>
        <v>-104388.524375</v>
      </c>
      <c r="J29" s="61" t="n">
        <f aca="false">J20+J23+J27</f>
        <v>-270761.3779</v>
      </c>
      <c r="K29" s="61" t="n">
        <f aca="false">K20+K23+K27</f>
        <v>-160811.4167</v>
      </c>
      <c r="L29" s="61" t="n">
        <f aca="false">L20+L23+L27</f>
        <v>122384.6121</v>
      </c>
      <c r="M29" s="61" t="n">
        <f aca="false">M20+M23+M27</f>
        <v>-36149.6653511154</v>
      </c>
      <c r="N29" s="61" t="n">
        <f aca="false">N20+N23+N27</f>
        <v>-58405.0243182166</v>
      </c>
      <c r="O29" s="61" t="n">
        <f aca="false">O20+O23+O27</f>
        <v>-58475.181716308</v>
      </c>
      <c r="P29" s="61" t="n">
        <f aca="false">P20+P23+P27</f>
        <v>15202.5117078378</v>
      </c>
      <c r="Q29" s="61" t="n">
        <f aca="false">Q20+Q23+Q27</f>
        <v>70699.4338684501</v>
      </c>
      <c r="R29" s="61" t="n">
        <f aca="false">R20+R23+R27</f>
        <v>68412.6496990042</v>
      </c>
      <c r="S29" s="61" t="n">
        <f aca="false">S20+S23+S27</f>
        <v>130286.796187553</v>
      </c>
      <c r="T29" s="61" t="n">
        <f aca="false">T20+T23+T27</f>
        <v>39995.641776588</v>
      </c>
      <c r="U29" s="61" t="n">
        <f aca="false">U20+U23+U27</f>
        <v>109191.361231714</v>
      </c>
      <c r="V29" s="61" t="n">
        <f aca="false">V20+V23+V27</f>
        <v>-55123.4104116404</v>
      </c>
      <c r="W29" s="61" t="n">
        <f aca="false">W20+W23+W27</f>
        <v>-69772.6895438687</v>
      </c>
      <c r="X29" s="61" t="n">
        <f aca="false">X20+X23+X27</f>
        <v>193042.569670185</v>
      </c>
      <c r="Y29" s="61" t="n">
        <f aca="false">Y20+Y23+Y27</f>
        <v>76520.4577528289</v>
      </c>
      <c r="Z29" s="61" t="n">
        <f aca="false">Z20+Z23+Z27</f>
        <v>-60002.7352764733</v>
      </c>
      <c r="AA29" s="61" t="n">
        <f aca="false">AA20+AA23+AA27</f>
        <v>-9164.26147501631</v>
      </c>
      <c r="AB29" s="61" t="n">
        <f aca="false">AB20+AB23+AB27</f>
        <v>5906.13298334469</v>
      </c>
    </row>
    <row r="30" customFormat="false" ht="15" hidden="false" customHeight="false" outlineLevel="0" collapsed="false">
      <c r="A30" s="27" t="s">
        <v>532</v>
      </c>
      <c r="B30" s="63"/>
      <c r="E30" s="67" t="n">
        <f aca="false">Inputs_Actuals!$C$278</f>
        <v>950000</v>
      </c>
      <c r="F30" s="76" t="n">
        <f aca="false">E31</f>
        <v>1081285.7015</v>
      </c>
      <c r="G30" s="76" t="n">
        <f aca="false">F31</f>
        <v>1191256.17355</v>
      </c>
      <c r="H30" s="76" t="n">
        <f aca="false">G31</f>
        <v>1285102.226625</v>
      </c>
      <c r="I30" s="76" t="n">
        <f aca="false">H31</f>
        <v>1255629.589725</v>
      </c>
      <c r="J30" s="76" t="n">
        <f aca="false">I31</f>
        <v>1151241.06535</v>
      </c>
      <c r="K30" s="76" t="n">
        <f aca="false">J31</f>
        <v>880479.687449999</v>
      </c>
      <c r="L30" s="76" t="n">
        <f aca="false">K31</f>
        <v>719668.270749998</v>
      </c>
      <c r="M30" s="76" t="n">
        <f aca="false">L31</f>
        <v>842052.882849998</v>
      </c>
      <c r="N30" s="76" t="n">
        <f aca="false">M31</f>
        <v>805903.217498883</v>
      </c>
      <c r="O30" s="76" t="n">
        <f aca="false">N31</f>
        <v>747498.193180666</v>
      </c>
      <c r="P30" s="76" t="n">
        <f aca="false">O31</f>
        <v>689023.011464358</v>
      </c>
      <c r="Q30" s="76" t="n">
        <f aca="false">P31</f>
        <v>704225.523172196</v>
      </c>
      <c r="R30" s="76" t="n">
        <f aca="false">Q31</f>
        <v>774924.957040646</v>
      </c>
      <c r="S30" s="76" t="n">
        <f aca="false">R31</f>
        <v>843337.606739651</v>
      </c>
      <c r="T30" s="76" t="n">
        <f aca="false">S31</f>
        <v>973624.402927203</v>
      </c>
      <c r="U30" s="76" t="n">
        <f aca="false">T31</f>
        <v>1013620.04470379</v>
      </c>
      <c r="V30" s="76" t="n">
        <f aca="false">U31</f>
        <v>1122811.40593551</v>
      </c>
      <c r="W30" s="76" t="n">
        <f aca="false">V31</f>
        <v>1067687.99552386</v>
      </c>
      <c r="X30" s="76" t="n">
        <f aca="false">W31</f>
        <v>997915.305979996</v>
      </c>
      <c r="Y30" s="76" t="n">
        <f aca="false">X31</f>
        <v>1190957.87565018</v>
      </c>
      <c r="Z30" s="76" t="n">
        <f aca="false">Y31</f>
        <v>1267478.33340301</v>
      </c>
      <c r="AA30" s="76" t="n">
        <f aca="false">Z31</f>
        <v>1207475.59812654</v>
      </c>
      <c r="AB30" s="76" t="n">
        <f aca="false">AA31</f>
        <v>1198311.33665152</v>
      </c>
    </row>
    <row r="31" customFormat="false" ht="15" hidden="false" customHeight="false" outlineLevel="0" collapsed="false">
      <c r="A31" s="59" t="s">
        <v>533</v>
      </c>
      <c r="B31" s="60"/>
      <c r="C31" s="61" t="n">
        <f aca="false">P31</f>
        <v>704225.523172196</v>
      </c>
      <c r="D31" s="61" t="n">
        <f aca="false">AB31</f>
        <v>1204217.46963487</v>
      </c>
      <c r="E31" s="61" t="n">
        <f aca="false">E30+E29</f>
        <v>1081285.7015</v>
      </c>
      <c r="F31" s="61" t="n">
        <f aca="false">F30+F29</f>
        <v>1191256.17355</v>
      </c>
      <c r="G31" s="61" t="n">
        <f aca="false">G30+G29</f>
        <v>1285102.226625</v>
      </c>
      <c r="H31" s="61" t="n">
        <f aca="false">H30+H29</f>
        <v>1255629.589725</v>
      </c>
      <c r="I31" s="61" t="n">
        <f aca="false">I30+I29</f>
        <v>1151241.06535</v>
      </c>
      <c r="J31" s="61" t="n">
        <f aca="false">J30+J29</f>
        <v>880479.687449999</v>
      </c>
      <c r="K31" s="61" t="n">
        <f aca="false">K30+K29</f>
        <v>719668.270749998</v>
      </c>
      <c r="L31" s="61" t="n">
        <f aca="false">L30+L29</f>
        <v>842052.882849998</v>
      </c>
      <c r="M31" s="61" t="n">
        <f aca="false">M30+M29</f>
        <v>805903.217498883</v>
      </c>
      <c r="N31" s="61" t="n">
        <f aca="false">N30+N29</f>
        <v>747498.193180666</v>
      </c>
      <c r="O31" s="61" t="n">
        <f aca="false">O30+O29</f>
        <v>689023.011464358</v>
      </c>
      <c r="P31" s="61" t="n">
        <f aca="false">P30+P29</f>
        <v>704225.523172196</v>
      </c>
      <c r="Q31" s="61" t="n">
        <f aca="false">Q30+Q29</f>
        <v>774924.957040646</v>
      </c>
      <c r="R31" s="61" t="n">
        <f aca="false">R30+R29</f>
        <v>843337.606739651</v>
      </c>
      <c r="S31" s="61" t="n">
        <f aca="false">S30+S29</f>
        <v>973624.402927203</v>
      </c>
      <c r="T31" s="61" t="n">
        <f aca="false">T30+T29</f>
        <v>1013620.04470379</v>
      </c>
      <c r="U31" s="61" t="n">
        <f aca="false">U30+U29</f>
        <v>1122811.40593551</v>
      </c>
      <c r="V31" s="61" t="n">
        <f aca="false">V30+V29</f>
        <v>1067687.99552386</v>
      </c>
      <c r="W31" s="61" t="n">
        <f aca="false">W30+W29</f>
        <v>997915.305979996</v>
      </c>
      <c r="X31" s="61" t="n">
        <f aca="false">X30+X29</f>
        <v>1190957.87565018</v>
      </c>
      <c r="Y31" s="61" t="n">
        <f aca="false">Y30+Y29</f>
        <v>1267478.33340301</v>
      </c>
      <c r="Z31" s="61" t="n">
        <f aca="false">Z30+Z29</f>
        <v>1207475.59812654</v>
      </c>
      <c r="AA31" s="61" t="n">
        <f aca="false">AA30+AA29</f>
        <v>1198311.33665152</v>
      </c>
      <c r="AB31" s="61" t="n">
        <f aca="false">AB30+AB29</f>
        <v>1204217.46963487</v>
      </c>
    </row>
    <row r="32" customFormat="false" ht="15" hidden="false" customHeight="false" outlineLevel="0" collapsed="false">
      <c r="A32" s="27" t="s">
        <v>534</v>
      </c>
      <c r="B32" s="63" t="s">
        <v>535</v>
      </c>
      <c r="C32" s="66" t="n">
        <f aca="false">SUM(E32:P32)</f>
        <v>514225.483172197</v>
      </c>
      <c r="D32" s="66" t="n">
        <f aca="false">SUM(Q32:AB32)</f>
        <v>899991.906462668</v>
      </c>
      <c r="E32" s="76" t="n">
        <f aca="false">E20+E23</f>
        <v>164619.0315</v>
      </c>
      <c r="F32" s="76" t="n">
        <f aca="false">F20+F23</f>
        <v>143303.80205</v>
      </c>
      <c r="G32" s="76" t="n">
        <f aca="false">G20+G23</f>
        <v>127179.383075</v>
      </c>
      <c r="H32" s="76" t="n">
        <f aca="false">H20+H23</f>
        <v>3860.69309999988</v>
      </c>
      <c r="I32" s="76" t="n">
        <f aca="false">I20+I23</f>
        <v>188144.805625</v>
      </c>
      <c r="J32" s="76" t="n">
        <f aca="false">J20+J23</f>
        <v>-136628.0479</v>
      </c>
      <c r="K32" s="76" t="n">
        <f aca="false">K20+K23</f>
        <v>-127478.0867</v>
      </c>
      <c r="L32" s="76" t="n">
        <f aca="false">L20+L23</f>
        <v>155717.9421</v>
      </c>
      <c r="M32" s="76" t="n">
        <f aca="false">M20+M23</f>
        <v>-2816.33535111547</v>
      </c>
      <c r="N32" s="76" t="n">
        <f aca="false">N20+N23</f>
        <v>-25071.6943182167</v>
      </c>
      <c r="O32" s="76" t="n">
        <f aca="false">O20+O23</f>
        <v>-25141.851716308</v>
      </c>
      <c r="P32" s="76" t="n">
        <f aca="false">P20+P23</f>
        <v>48535.8417078378</v>
      </c>
      <c r="Q32" s="76" t="n">
        <f aca="false">Q20+Q23</f>
        <v>104032.76386845</v>
      </c>
      <c r="R32" s="76" t="n">
        <f aca="false">R20+R23</f>
        <v>101745.979699004</v>
      </c>
      <c r="S32" s="76" t="n">
        <f aca="false">S20+S23</f>
        <v>163620.126187553</v>
      </c>
      <c r="T32" s="76" t="n">
        <f aca="false">T20+T23</f>
        <v>73328.971776588</v>
      </c>
      <c r="U32" s="76" t="n">
        <f aca="false">U20+U23</f>
        <v>142524.691231714</v>
      </c>
      <c r="V32" s="76" t="n">
        <f aca="false">V20+V23</f>
        <v>-21790.0804116404</v>
      </c>
      <c r="W32" s="76" t="n">
        <f aca="false">W20+W23</f>
        <v>-36439.3595438687</v>
      </c>
      <c r="X32" s="76" t="n">
        <f aca="false">X20+X23</f>
        <v>226375.899670185</v>
      </c>
      <c r="Y32" s="76" t="n">
        <f aca="false">Y20+Y23</f>
        <v>109853.787752829</v>
      </c>
      <c r="Z32" s="76" t="n">
        <f aca="false">Z20+Z23</f>
        <v>-26669.4052764734</v>
      </c>
      <c r="AA32" s="76" t="n">
        <f aca="false">AA20+AA23</f>
        <v>24169.0685249836</v>
      </c>
      <c r="AB32" s="76" t="n">
        <f aca="false">AB20+AB23</f>
        <v>39239.4629833447</v>
      </c>
    </row>
    <row r="33" customFormat="false" ht="15" hidden="false" customHeight="false" outlineLevel="0" collapsed="false">
      <c r="A33" s="21" t="s">
        <v>536</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row>
    <row r="34" customFormat="false" ht="15" hidden="false" customHeight="false" outlineLevel="0" collapsed="false">
      <c r="A34" s="27" t="s">
        <v>537</v>
      </c>
      <c r="B34" s="63" t="s">
        <v>538</v>
      </c>
      <c r="C34" s="66" t="n">
        <f aca="false">SUM(E34:P34)</f>
        <v>8729799.55795942</v>
      </c>
      <c r="D34" s="66" t="n">
        <f aca="false">SUM(Q34:AB34)</f>
        <v>9374484.72843475</v>
      </c>
      <c r="E34" s="67" t="n">
        <f aca="false">Receivables!E33</f>
        <v>858639.12</v>
      </c>
      <c r="F34" s="67" t="n">
        <f aca="false">Receivables!F33</f>
        <v>855237.39</v>
      </c>
      <c r="G34" s="67" t="n">
        <f aca="false">Receivables!G33</f>
        <v>696752.39</v>
      </c>
      <c r="H34" s="67" t="n">
        <f aca="false">Receivables!H33</f>
        <v>683693.77</v>
      </c>
      <c r="I34" s="67" t="n">
        <f aca="false">Receivables!I33</f>
        <v>729320.38</v>
      </c>
      <c r="J34" s="67" t="n">
        <f aca="false">Receivables!J33</f>
        <v>690855.75</v>
      </c>
      <c r="K34" s="67" t="n">
        <f aca="false">Receivables!K33</f>
        <v>685015.9</v>
      </c>
      <c r="L34" s="67" t="n">
        <f aca="false">Receivables!L33</f>
        <v>671031.68</v>
      </c>
      <c r="M34" s="67" t="n">
        <f aca="false">Receivables!M33</f>
        <v>570920.830901676</v>
      </c>
      <c r="N34" s="67" t="n">
        <f aca="false">Receivables!N33</f>
        <v>691637.540237477</v>
      </c>
      <c r="O34" s="67" t="n">
        <f aca="false">Receivables!O33</f>
        <v>760620.436534464</v>
      </c>
      <c r="P34" s="67" t="n">
        <f aca="false">Receivables!P33</f>
        <v>836074.370285806</v>
      </c>
      <c r="Q34" s="67" t="n">
        <f aca="false">Receivables!Q33</f>
        <v>780349.57077331</v>
      </c>
      <c r="R34" s="67" t="n">
        <f aca="false">Receivables!R33</f>
        <v>922229.948132969</v>
      </c>
      <c r="S34" s="67" t="n">
        <f aca="false">Receivables!S33</f>
        <v>800835.906403986</v>
      </c>
      <c r="T34" s="67" t="n">
        <f aca="false">Receivables!T33</f>
        <v>770333.132829885</v>
      </c>
      <c r="U34" s="67" t="n">
        <f aca="false">Receivables!U33</f>
        <v>756124.415665871</v>
      </c>
      <c r="V34" s="67" t="n">
        <f aca="false">Receivables!V33</f>
        <v>748574.458528459</v>
      </c>
      <c r="W34" s="67" t="n">
        <f aca="false">Receivables!W33</f>
        <v>788039.044248381</v>
      </c>
      <c r="X34" s="67" t="n">
        <f aca="false">Receivables!X33</f>
        <v>749086.35034778</v>
      </c>
      <c r="Y34" s="67" t="n">
        <f aca="false">Receivables!Y33</f>
        <v>636576.777224623</v>
      </c>
      <c r="Z34" s="67" t="n">
        <f aca="false">Receivables!Z33</f>
        <v>762582.247662462</v>
      </c>
      <c r="AA34" s="67" t="n">
        <f aca="false">Receivables!AA33</f>
        <v>844040.912872044</v>
      </c>
      <c r="AB34" s="67" t="n">
        <f aca="false">Receivables!AB33</f>
        <v>815711.96374498</v>
      </c>
    </row>
    <row r="35" customFormat="false" ht="15" hidden="false" customHeight="false" outlineLevel="0" collapsed="false">
      <c r="A35" s="27" t="s">
        <v>539</v>
      </c>
      <c r="B35" s="63" t="s">
        <v>538</v>
      </c>
      <c r="C35" s="66" t="n">
        <f aca="false">SUM(E35:P35)</f>
        <v>1138187.52143914</v>
      </c>
      <c r="D35" s="66" t="n">
        <f aca="false">SUM(Q35:AB35)</f>
        <v>1130293.95383806</v>
      </c>
      <c r="E35" s="67" t="n">
        <f aca="false">Receivables!E41</f>
        <v>105400.15</v>
      </c>
      <c r="F35" s="67" t="n">
        <f aca="false">Receivables!F41</f>
        <v>108208.67</v>
      </c>
      <c r="G35" s="67" t="n">
        <f aca="false">Receivables!G41</f>
        <v>114932.76</v>
      </c>
      <c r="H35" s="67" t="n">
        <f aca="false">Receivables!H41</f>
        <v>86944.98</v>
      </c>
      <c r="I35" s="67" t="n">
        <f aca="false">Receivables!I41</f>
        <v>111199.22</v>
      </c>
      <c r="J35" s="67" t="n">
        <f aca="false">Receivables!J41</f>
        <v>83272.23</v>
      </c>
      <c r="K35" s="67" t="n">
        <f aca="false">Receivables!K41</f>
        <v>84401.75</v>
      </c>
      <c r="L35" s="67" t="n">
        <f aca="false">Receivables!L41</f>
        <v>87160.52</v>
      </c>
      <c r="M35" s="67" t="n">
        <f aca="false">Receivables!M41</f>
        <v>79177.2092035484</v>
      </c>
      <c r="N35" s="67" t="n">
        <f aca="false">Receivables!N41</f>
        <v>93071.3287049248</v>
      </c>
      <c r="O35" s="67" t="n">
        <f aca="false">Receivables!O41</f>
        <v>92482.6025123903</v>
      </c>
      <c r="P35" s="67" t="n">
        <f aca="false">Receivables!P41</f>
        <v>91936.1010182725</v>
      </c>
      <c r="Q35" s="67" t="n">
        <f aca="false">Receivables!Q41</f>
        <v>87956.2321222791</v>
      </c>
      <c r="R35" s="67" t="n">
        <f aca="false">Receivables!R41</f>
        <v>91887.9466082335</v>
      </c>
      <c r="S35" s="67" t="n">
        <f aca="false">Receivables!S41</f>
        <v>108153.252473679</v>
      </c>
      <c r="T35" s="67" t="n">
        <f aca="false">Receivables!T41</f>
        <v>89081.979855584</v>
      </c>
      <c r="U35" s="67" t="n">
        <f aca="false">Receivables!U41</f>
        <v>94214.1179492999</v>
      </c>
      <c r="V35" s="67" t="n">
        <f aca="false">Receivables!V41</f>
        <v>94274.9274053127</v>
      </c>
      <c r="W35" s="67" t="n">
        <f aca="false">Receivables!W41</f>
        <v>93930.4383367071</v>
      </c>
      <c r="X35" s="67" t="n">
        <f aca="false">Receivables!X41</f>
        <v>97585.1046762476</v>
      </c>
      <c r="Y35" s="67" t="n">
        <f aca="false">Receivables!Y41</f>
        <v>87908.5101585615</v>
      </c>
      <c r="Z35" s="67" t="n">
        <f aca="false">Receivables!Z41</f>
        <v>80052.6160624801</v>
      </c>
      <c r="AA35" s="67" t="n">
        <f aca="false">Receivables!AA41</f>
        <v>101487.134081892</v>
      </c>
      <c r="AB35" s="67" t="n">
        <f aca="false">Receivables!AB41</f>
        <v>103761.694107788</v>
      </c>
    </row>
    <row r="36" customFormat="false" ht="15" hidden="false" customHeight="false" outlineLevel="0" collapsed="false">
      <c r="A36" s="27" t="s">
        <v>540</v>
      </c>
      <c r="B36" s="63" t="s">
        <v>538</v>
      </c>
      <c r="C36" s="66" t="n">
        <f aca="false">SUM(E36:P36)</f>
        <v>92785.97902685</v>
      </c>
      <c r="D36" s="66" t="n">
        <f aca="false">SUM(Q36:AB36)</f>
        <v>83614.8998742658</v>
      </c>
      <c r="E36" s="67" t="n">
        <f aca="false">Rebates!E24</f>
        <v>0</v>
      </c>
      <c r="F36" s="67" t="n">
        <f aca="false">Rebates!F24</f>
        <v>32143.3</v>
      </c>
      <c r="G36" s="67" t="n">
        <f aca="false">Rebates!G24</f>
        <v>0</v>
      </c>
      <c r="H36" s="67" t="n">
        <f aca="false">Rebates!H24</f>
        <v>0</v>
      </c>
      <c r="I36" s="67" t="n">
        <f aca="false">Rebates!I24</f>
        <v>23683.86</v>
      </c>
      <c r="J36" s="67" t="n">
        <f aca="false">Rebates!J24</f>
        <v>0</v>
      </c>
      <c r="K36" s="67" t="n">
        <f aca="false">Rebates!K24</f>
        <v>0</v>
      </c>
      <c r="L36" s="67" t="n">
        <f aca="false">Rebates!L24</f>
        <v>19254.82</v>
      </c>
      <c r="M36" s="67" t="n">
        <f aca="false">Rebates!M24</f>
        <v>0</v>
      </c>
      <c r="N36" s="67" t="n">
        <f aca="false">Rebates!N24</f>
        <v>0</v>
      </c>
      <c r="O36" s="67" t="n">
        <f aca="false">Rebates!O24</f>
        <v>17703.99902685</v>
      </c>
      <c r="P36" s="67" t="n">
        <f aca="false">Rebates!P24</f>
        <v>0</v>
      </c>
      <c r="Q36" s="67" t="n">
        <f aca="false">Rebates!Q24</f>
        <v>0</v>
      </c>
      <c r="R36" s="67" t="n">
        <f aca="false">Rebates!R24</f>
        <v>21029.9548198344</v>
      </c>
      <c r="S36" s="67" t="n">
        <f aca="false">Rebates!S24</f>
        <v>0</v>
      </c>
      <c r="T36" s="67" t="n">
        <f aca="false">Rebates!T24</f>
        <v>0</v>
      </c>
      <c r="U36" s="67" t="n">
        <f aca="false">Rebates!U24</f>
        <v>24457.3287836427</v>
      </c>
      <c r="V36" s="67" t="n">
        <f aca="false">Rebates!V24</f>
        <v>0</v>
      </c>
      <c r="W36" s="67" t="n">
        <f aca="false">Rebates!W24</f>
        <v>0</v>
      </c>
      <c r="X36" s="67" t="n">
        <f aca="false">Rebates!X24</f>
        <v>19814.2673568408</v>
      </c>
      <c r="Y36" s="67" t="n">
        <f aca="false">Rebates!Y24</f>
        <v>0</v>
      </c>
      <c r="Z36" s="67" t="n">
        <f aca="false">Rebates!Z24</f>
        <v>0</v>
      </c>
      <c r="AA36" s="67" t="n">
        <f aca="false">Rebates!AA24</f>
        <v>18313.3489139479</v>
      </c>
      <c r="AB36" s="67" t="n">
        <f aca="false">Rebates!AB24</f>
        <v>0</v>
      </c>
    </row>
    <row r="37" customFormat="false" ht="15" hidden="false" customHeight="false" outlineLevel="0" collapsed="false">
      <c r="A37" s="27" t="s">
        <v>541</v>
      </c>
      <c r="B37" s="63" t="s">
        <v>538</v>
      </c>
      <c r="C37" s="66" t="n">
        <f aca="false">SUM(E37:P37)</f>
        <v>0</v>
      </c>
      <c r="D37" s="66" t="n">
        <f aca="false">SUM(Q37:AB37)</f>
        <v>79569.1444262298</v>
      </c>
      <c r="E37" s="67" t="n">
        <f aca="false">Tax!E17</f>
        <v>0</v>
      </c>
      <c r="F37" s="67" t="n">
        <f aca="false">Tax!F17</f>
        <v>0</v>
      </c>
      <c r="G37" s="67" t="n">
        <f aca="false">Tax!G17</f>
        <v>0</v>
      </c>
      <c r="H37" s="67" t="n">
        <f aca="false">Tax!H17</f>
        <v>0</v>
      </c>
      <c r="I37" s="67" t="n">
        <f aca="false">Tax!I17</f>
        <v>0</v>
      </c>
      <c r="J37" s="67" t="n">
        <f aca="false">Tax!J17</f>
        <v>0</v>
      </c>
      <c r="K37" s="67" t="n">
        <f aca="false">Tax!K17</f>
        <v>0</v>
      </c>
      <c r="L37" s="67" t="n">
        <f aca="false">Tax!L17</f>
        <v>0</v>
      </c>
      <c r="M37" s="67" t="n">
        <f aca="false">Tax!M17</f>
        <v>0</v>
      </c>
      <c r="N37" s="67" t="n">
        <f aca="false">Tax!N17</f>
        <v>0</v>
      </c>
      <c r="O37" s="67" t="n">
        <f aca="false">Tax!O17</f>
        <v>0</v>
      </c>
      <c r="P37" s="67" t="n">
        <f aca="false">Tax!P17</f>
        <v>0</v>
      </c>
      <c r="Q37" s="67" t="n">
        <f aca="false">Tax!Q17</f>
        <v>0</v>
      </c>
      <c r="R37" s="67" t="n">
        <f aca="false">Tax!R17</f>
        <v>0</v>
      </c>
      <c r="S37" s="67" t="n">
        <f aca="false">Tax!S17</f>
        <v>0</v>
      </c>
      <c r="T37" s="67" t="n">
        <f aca="false">Tax!T17</f>
        <v>0</v>
      </c>
      <c r="U37" s="67" t="n">
        <f aca="false">Tax!U17</f>
        <v>0</v>
      </c>
      <c r="V37" s="67" t="n">
        <f aca="false">Tax!V17</f>
        <v>0</v>
      </c>
      <c r="W37" s="67" t="n">
        <f aca="false">Tax!W17</f>
        <v>0</v>
      </c>
      <c r="X37" s="67" t="n">
        <f aca="false">Tax!X17</f>
        <v>0</v>
      </c>
      <c r="Y37" s="67" t="n">
        <f aca="false">Tax!Y17</f>
        <v>79569.1444262298</v>
      </c>
      <c r="Z37" s="67" t="n">
        <f aca="false">Tax!Z17</f>
        <v>0</v>
      </c>
      <c r="AA37" s="67" t="n">
        <f aca="false">Tax!AA17</f>
        <v>0</v>
      </c>
      <c r="AB37" s="67" t="n">
        <f aca="false">Tax!AB17</f>
        <v>0</v>
      </c>
    </row>
    <row r="38" customFormat="false" ht="15" hidden="false" customHeight="false" outlineLevel="0" collapsed="false">
      <c r="A38" s="27" t="s">
        <v>542</v>
      </c>
      <c r="B38" s="63" t="s">
        <v>538</v>
      </c>
      <c r="C38" s="66" t="n">
        <f aca="false">SUM(E38:P38)</f>
        <v>-1520292.34515372</v>
      </c>
      <c r="D38" s="66" t="n">
        <f aca="false">SUM(Q38:AB38)</f>
        <v>-1716564.97077263</v>
      </c>
      <c r="E38" s="67" t="n">
        <f aca="false">-(People!E179+People!E180)</f>
        <v>-109386.22</v>
      </c>
      <c r="F38" s="67" t="n">
        <f aca="false">-(People!F179+People!F180)</f>
        <v>-110723.56</v>
      </c>
      <c r="G38" s="67" t="n">
        <f aca="false">-(People!G179+People!G180)</f>
        <v>-111188.41</v>
      </c>
      <c r="H38" s="67" t="n">
        <f aca="false">-(People!H179+People!H180)</f>
        <v>-111996.97</v>
      </c>
      <c r="I38" s="67" t="n">
        <f aca="false">-(People!I179+People!I180)</f>
        <v>-108117.18</v>
      </c>
      <c r="J38" s="67" t="n">
        <f aca="false">-(People!J179+People!J180)</f>
        <v>-203064.63</v>
      </c>
      <c r="K38" s="67" t="n">
        <f aca="false">-(People!K179+People!K180)</f>
        <v>-107552.39</v>
      </c>
      <c r="L38" s="67" t="n">
        <f aca="false">-(People!L179+People!L180)</f>
        <v>-109658</v>
      </c>
      <c r="M38" s="67" t="n">
        <f aca="false">-(People!M179+People!M180)</f>
        <v>-107045.9670483</v>
      </c>
      <c r="N38" s="67" t="n">
        <f aca="false">-(People!N179+People!N180)</f>
        <v>-110870.538348169</v>
      </c>
      <c r="O38" s="67" t="n">
        <f aca="false">-(People!O179+People!O180)</f>
        <v>-209971.193574298</v>
      </c>
      <c r="P38" s="67" t="n">
        <f aca="false">-(People!P179+People!P180)</f>
        <v>-120717.286182955</v>
      </c>
      <c r="Q38" s="67" t="n">
        <f aca="false">-(People!Q179+People!Q180)</f>
        <v>-122448.900278671</v>
      </c>
      <c r="R38" s="67" t="n">
        <f aca="false">-(People!R179+People!R180)</f>
        <v>-124136.636481844</v>
      </c>
      <c r="S38" s="67" t="n">
        <f aca="false">-(People!S179+People!S180)</f>
        <v>-125373.197833886</v>
      </c>
      <c r="T38" s="67" t="n">
        <f aca="false">-(People!T179+People!T180)</f>
        <v>-123951.477350921</v>
      </c>
      <c r="U38" s="67" t="n">
        <f aca="false">-(People!U179+People!U180)</f>
        <v>-125753.368621251</v>
      </c>
      <c r="V38" s="67" t="n">
        <f aca="false">-(People!V179+People!V180)</f>
        <v>-235232.976683362</v>
      </c>
      <c r="W38" s="67" t="n">
        <f aca="false">-(People!W179+People!W180)</f>
        <v>-124558.584200253</v>
      </c>
      <c r="X38" s="67" t="n">
        <f aca="false">-(People!X179+People!X180)</f>
        <v>-123044.337731486</v>
      </c>
      <c r="Y38" s="67" t="n">
        <f aca="false">-(People!Y179+People!Y180)</f>
        <v>-125269.520569159</v>
      </c>
      <c r="Z38" s="67" t="n">
        <f aca="false">-(People!Z179+People!Z180)</f>
        <v>-126129.450021301</v>
      </c>
      <c r="AA38" s="67" t="n">
        <f aca="false">-(People!AA179+People!AA180)</f>
        <v>-235291.684347255</v>
      </c>
      <c r="AB38" s="67" t="n">
        <f aca="false">-(People!AB179+People!AB180)</f>
        <v>-125374.83665324</v>
      </c>
    </row>
    <row r="39" customFormat="false" ht="15" hidden="false" customHeight="false" outlineLevel="0" collapsed="false">
      <c r="A39" s="27" t="s">
        <v>543</v>
      </c>
      <c r="B39" s="63" t="s">
        <v>538</v>
      </c>
      <c r="C39" s="66" t="n">
        <f aca="false">SUM(E39:P39)</f>
        <v>-42809.0150506118</v>
      </c>
      <c r="D39" s="66" t="n">
        <f aca="false">SUM(Q39:AB39)</f>
        <v>-49248.9519063556</v>
      </c>
      <c r="E39" s="67" t="n">
        <f aca="false">-People!E181</f>
        <v>-3533.66</v>
      </c>
      <c r="F39" s="67" t="n">
        <f aca="false">-People!F181</f>
        <v>-3588.24</v>
      </c>
      <c r="G39" s="67" t="n">
        <f aca="false">-People!G181</f>
        <v>-3595.58</v>
      </c>
      <c r="H39" s="67" t="n">
        <f aca="false">-People!H181</f>
        <v>-3546.26</v>
      </c>
      <c r="I39" s="67" t="n">
        <f aca="false">-People!I181</f>
        <v>-3496.94</v>
      </c>
      <c r="J39" s="67" t="n">
        <f aca="false">-People!J181</f>
        <v>-3485.91</v>
      </c>
      <c r="K39" s="67" t="n">
        <f aca="false">-People!K181</f>
        <v>-3530.51</v>
      </c>
      <c r="L39" s="67" t="n">
        <f aca="false">-People!L181</f>
        <v>-3530.51</v>
      </c>
      <c r="M39" s="67" t="n">
        <f aca="false">-People!M181</f>
        <v>-3494.81958333333</v>
      </c>
      <c r="N39" s="67" t="n">
        <f aca="false">-People!N181</f>
        <v>-3602.77229805556</v>
      </c>
      <c r="O39" s="67" t="n">
        <f aca="false">-People!O181</f>
        <v>-3703.13804309607</v>
      </c>
      <c r="P39" s="67" t="n">
        <f aca="false">-People!P181</f>
        <v>-3700.67512612681</v>
      </c>
      <c r="Q39" s="67" t="n">
        <f aca="false">-People!Q181</f>
        <v>-4007.06240297744</v>
      </c>
      <c r="R39" s="67" t="n">
        <f aca="false">-People!R181</f>
        <v>-4004.82075436244</v>
      </c>
      <c r="S39" s="67" t="n">
        <f aca="false">-People!S181</f>
        <v>-4048.35256162578</v>
      </c>
      <c r="T39" s="67" t="n">
        <f aca="false">-People!T181</f>
        <v>-4094.72836778115</v>
      </c>
      <c r="U39" s="67" t="n">
        <f aca="false">-People!U181</f>
        <v>-4093.67847327038</v>
      </c>
      <c r="V39" s="67" t="n">
        <f aca="false">-People!V181</f>
        <v>-4143.79443855879</v>
      </c>
      <c r="W39" s="67" t="n">
        <f aca="false">-People!W181</f>
        <v>-4143.22200683591</v>
      </c>
      <c r="X39" s="67" t="n">
        <f aca="false">-People!X181</f>
        <v>-4142.64399886413</v>
      </c>
      <c r="Y39" s="67" t="n">
        <f aca="false">-People!Y181</f>
        <v>-4142.65742063906</v>
      </c>
      <c r="Z39" s="67" t="n">
        <f aca="false">-People!Z181</f>
        <v>-4142.66400747712</v>
      </c>
      <c r="AA39" s="67" t="n">
        <f aca="false">-People!AA181</f>
        <v>-4142.66377404318</v>
      </c>
      <c r="AB39" s="67" t="n">
        <f aca="false">-People!AB181</f>
        <v>-4142.66369992017</v>
      </c>
    </row>
    <row r="40" customFormat="false" ht="15" hidden="false" customHeight="false" outlineLevel="0" collapsed="false">
      <c r="A40" s="27" t="s">
        <v>544</v>
      </c>
      <c r="B40" s="63" t="s">
        <v>538</v>
      </c>
      <c r="C40" s="66" t="n">
        <f aca="false">SUM(E40:P40)</f>
        <v>-638284.356299364</v>
      </c>
      <c r="D40" s="66" t="n">
        <f aca="false">SUM(Q40:AB40)</f>
        <v>-727183.578290973</v>
      </c>
      <c r="E40" s="67" t="n">
        <f aca="false">-People!E174</f>
        <v>-44038.67</v>
      </c>
      <c r="F40" s="67" t="n">
        <f aca="false">-People!F174</f>
        <v>-45315.69</v>
      </c>
      <c r="G40" s="67" t="n">
        <f aca="false">-People!G174</f>
        <v>-45932.9</v>
      </c>
      <c r="H40" s="67" t="n">
        <f aca="false">-People!H174</f>
        <v>-46187.05</v>
      </c>
      <c r="I40" s="67" t="n">
        <f aca="false">-People!I174</f>
        <v>-46962.7</v>
      </c>
      <c r="J40" s="67" t="n">
        <f aca="false">-People!J174</f>
        <v>-45041.5</v>
      </c>
      <c r="K40" s="67" t="n">
        <f aca="false">-People!K174</f>
        <v>-90165.95</v>
      </c>
      <c r="L40" s="67" t="n">
        <f aca="false">-People!L174</f>
        <v>-45140.12</v>
      </c>
      <c r="M40" s="67" t="n">
        <f aca="false">-People!M174</f>
        <v>-46692.32</v>
      </c>
      <c r="N40" s="67" t="n">
        <f aca="false">-People!N174</f>
        <v>-44543.769725</v>
      </c>
      <c r="O40" s="67" t="n">
        <f aca="false">-People!O174</f>
        <v>-45835.6079790555</v>
      </c>
      <c r="P40" s="67" t="n">
        <f aca="false">-People!P174</f>
        <v>-92428.0785953084</v>
      </c>
      <c r="Q40" s="67" t="n">
        <f aca="false">-People!Q174</f>
        <v>-50571.9763365308</v>
      </c>
      <c r="R40" s="67" t="n">
        <f aca="false">-People!R174</f>
        <v>-50905.0063087594</v>
      </c>
      <c r="S40" s="67" t="n">
        <f aca="false">-People!S174</f>
        <v>-51780.8207528235</v>
      </c>
      <c r="T40" s="67" t="n">
        <f aca="false">-People!T174</f>
        <v>-52234.5689111407</v>
      </c>
      <c r="U40" s="67" t="n">
        <f aca="false">-People!U174</f>
        <v>-51760.4605833699</v>
      </c>
      <c r="V40" s="67" t="n">
        <f aca="false">-People!V174</f>
        <v>-52370.1383387277</v>
      </c>
      <c r="W40" s="67" t="n">
        <f aca="false">-People!W174</f>
        <v>-104366.075813104</v>
      </c>
      <c r="X40" s="67" t="n">
        <f aca="false">-People!X174</f>
        <v>-52348.411165578</v>
      </c>
      <c r="Y40" s="67" t="n">
        <f aca="false">-People!Y174</f>
        <v>-52286.1497204457</v>
      </c>
      <c r="Z40" s="67" t="n">
        <f aca="false">-People!Z174</f>
        <v>-52197.4891054235</v>
      </c>
      <c r="AA40" s="67" t="n">
        <f aca="false">-People!AA174</f>
        <v>-52358.5480439026</v>
      </c>
      <c r="AB40" s="67" t="n">
        <f aca="false">-People!AB174</f>
        <v>-104003.933211167</v>
      </c>
    </row>
    <row r="41" customFormat="false" ht="15" hidden="false" customHeight="false" outlineLevel="0" collapsed="false">
      <c r="A41" s="27" t="s">
        <v>545</v>
      </c>
      <c r="B41" s="63" t="s">
        <v>538</v>
      </c>
      <c r="C41" s="66" t="n">
        <f aca="false">SUM(E41:P41)</f>
        <v>-286547.87618656</v>
      </c>
      <c r="D41" s="66" t="n">
        <f aca="false">SUM(Q41:AB41)</f>
        <v>-327574.446207918</v>
      </c>
      <c r="E41" s="67" t="n">
        <f aca="false">-People!E177</f>
        <v>-19781.39</v>
      </c>
      <c r="F41" s="67" t="n">
        <f aca="false">-People!F177</f>
        <v>-20355.69</v>
      </c>
      <c r="G41" s="67" t="n">
        <f aca="false">-People!G177</f>
        <v>-20648.52</v>
      </c>
      <c r="H41" s="67" t="n">
        <f aca="false">-People!H177</f>
        <v>-20834.62</v>
      </c>
      <c r="I41" s="67" t="n">
        <f aca="false">-People!I177</f>
        <v>-21215.21</v>
      </c>
      <c r="J41" s="67" t="n">
        <f aca="false">-People!J177</f>
        <v>-20426.49</v>
      </c>
      <c r="K41" s="67" t="n">
        <f aca="false">-People!K177</f>
        <v>-40607.39</v>
      </c>
      <c r="L41" s="67" t="n">
        <f aca="false">-People!L177</f>
        <v>-20243.89</v>
      </c>
      <c r="M41" s="67" t="n">
        <f aca="false">-People!M177</f>
        <v>-20916.9</v>
      </c>
      <c r="N41" s="67" t="n">
        <f aca="false">-People!N177</f>
        <v>-19986.6785183667</v>
      </c>
      <c r="O41" s="67" t="n">
        <f aca="false">-People!O177</f>
        <v>-20374.9352659695</v>
      </c>
      <c r="P41" s="67" t="n">
        <f aca="false">-People!P177</f>
        <v>-41156.1624022237</v>
      </c>
      <c r="Q41" s="67" t="n">
        <f aca="false">-People!Q177</f>
        <v>-22413.0810538424</v>
      </c>
      <c r="R41" s="67" t="n">
        <f aca="false">-People!R177</f>
        <v>-23121.6775173992</v>
      </c>
      <c r="S41" s="67" t="n">
        <f aca="false">-People!S177</f>
        <v>-23502.2658393531</v>
      </c>
      <c r="T41" s="67" t="n">
        <f aca="false">-People!T177</f>
        <v>-23618.1822186071</v>
      </c>
      <c r="U41" s="67" t="n">
        <f aca="false">-People!U177</f>
        <v>-23341.1699896136</v>
      </c>
      <c r="V41" s="67" t="n">
        <f aca="false">-People!V177</f>
        <v>-23607.2912648394</v>
      </c>
      <c r="W41" s="67" t="n">
        <f aca="false">-People!W177</f>
        <v>-46974.3328794763</v>
      </c>
      <c r="X41" s="67" t="n">
        <f aca="false">-People!X177</f>
        <v>-23559.303737466</v>
      </c>
      <c r="Y41" s="67" t="n">
        <f aca="false">-People!Y177</f>
        <v>-23532.758197984</v>
      </c>
      <c r="Z41" s="67" t="n">
        <f aca="false">-People!Z177</f>
        <v>-23494.3061697666</v>
      </c>
      <c r="AA41" s="67" t="n">
        <f aca="false">-People!AA177</f>
        <v>-23564.1334155824</v>
      </c>
      <c r="AB41" s="67" t="n">
        <f aca="false">-People!AB177</f>
        <v>-46845.9439239882</v>
      </c>
    </row>
    <row r="42" customFormat="false" ht="15" hidden="false" customHeight="false" outlineLevel="0" collapsed="false">
      <c r="A42" s="27" t="s">
        <v>546</v>
      </c>
      <c r="B42" s="63" t="s">
        <v>538</v>
      </c>
      <c r="C42" s="66" t="n">
        <f aca="false">SUM(E42:P42)</f>
        <v>-31435.97</v>
      </c>
      <c r="D42" s="66" t="n">
        <f aca="false">SUM(Q42:AB42)</f>
        <v>-32221.875</v>
      </c>
      <c r="E42" s="67" t="n">
        <f aca="false">-Overheads!E29</f>
        <v>-2560.97</v>
      </c>
      <c r="F42" s="67" t="n">
        <f aca="false">-Overheads!F29</f>
        <v>-2625</v>
      </c>
      <c r="G42" s="67" t="n">
        <f aca="false">-Overheads!G29</f>
        <v>-2625</v>
      </c>
      <c r="H42" s="67" t="n">
        <f aca="false">-Overheads!H29</f>
        <v>-2625</v>
      </c>
      <c r="I42" s="67" t="n">
        <f aca="false">-Overheads!I29</f>
        <v>-2625</v>
      </c>
      <c r="J42" s="67" t="n">
        <f aca="false">-Overheads!J29</f>
        <v>-2625</v>
      </c>
      <c r="K42" s="67" t="n">
        <f aca="false">-Overheads!K29</f>
        <v>-2625</v>
      </c>
      <c r="L42" s="67" t="n">
        <f aca="false">-Overheads!L29</f>
        <v>-2625</v>
      </c>
      <c r="M42" s="67" t="n">
        <f aca="false">-Overheads!M29</f>
        <v>-2625</v>
      </c>
      <c r="N42" s="67" t="n">
        <f aca="false">-Overheads!N29</f>
        <v>-2625</v>
      </c>
      <c r="O42" s="67" t="n">
        <f aca="false">-Overheads!O29</f>
        <v>-2625</v>
      </c>
      <c r="P42" s="67" t="n">
        <f aca="false">-Overheads!P29</f>
        <v>-2625</v>
      </c>
      <c r="Q42" s="67" t="n">
        <f aca="false">-Overheads!Q29</f>
        <v>-2625</v>
      </c>
      <c r="R42" s="67" t="n">
        <f aca="false">-Overheads!R29</f>
        <v>-2690.625</v>
      </c>
      <c r="S42" s="67" t="n">
        <f aca="false">-Overheads!S29</f>
        <v>-2690.625</v>
      </c>
      <c r="T42" s="67" t="n">
        <f aca="false">-Overheads!T29</f>
        <v>-2690.625</v>
      </c>
      <c r="U42" s="67" t="n">
        <f aca="false">-Overheads!U29</f>
        <v>-2690.625</v>
      </c>
      <c r="V42" s="67" t="n">
        <f aca="false">-Overheads!V29</f>
        <v>-2690.625</v>
      </c>
      <c r="W42" s="67" t="n">
        <f aca="false">-Overheads!W29</f>
        <v>-2690.625</v>
      </c>
      <c r="X42" s="67" t="n">
        <f aca="false">-Overheads!X29</f>
        <v>-2690.625</v>
      </c>
      <c r="Y42" s="67" t="n">
        <f aca="false">-Overheads!Y29</f>
        <v>-2690.625</v>
      </c>
      <c r="Z42" s="67" t="n">
        <f aca="false">-Overheads!Z29</f>
        <v>-2690.625</v>
      </c>
      <c r="AA42" s="67" t="n">
        <f aca="false">-Overheads!AA29</f>
        <v>-2690.625</v>
      </c>
      <c r="AB42" s="67" t="n">
        <f aca="false">-Overheads!AB29</f>
        <v>-2690.625</v>
      </c>
    </row>
    <row r="43" customFormat="false" ht="15" hidden="false" customHeight="false" outlineLevel="0" collapsed="false">
      <c r="A43" s="27" t="s">
        <v>547</v>
      </c>
      <c r="B43" s="63" t="s">
        <v>538</v>
      </c>
      <c r="C43" s="66" t="n">
        <f aca="false">SUM(E43:P43)</f>
        <v>-2734567.05608</v>
      </c>
      <c r="D43" s="66" t="n">
        <f aca="false">SUM(Q43:AB43)</f>
        <v>-2665955.136</v>
      </c>
      <c r="E43" s="67" t="n">
        <f aca="false">-Payables!E10</f>
        <v>-265273.96</v>
      </c>
      <c r="F43" s="67" t="n">
        <f aca="false">-Payables!F10</f>
        <v>-171017.48</v>
      </c>
      <c r="G43" s="67" t="n">
        <f aca="false">-Payables!G10</f>
        <v>-213959.75</v>
      </c>
      <c r="H43" s="67" t="n">
        <f aca="false">-Payables!H10</f>
        <v>-259420.58</v>
      </c>
      <c r="I43" s="67" t="n">
        <f aca="false">-Payables!I10</f>
        <v>-209385.41</v>
      </c>
      <c r="J43" s="67" t="n">
        <f aca="false">-Payables!J10</f>
        <v>-218285.26</v>
      </c>
      <c r="K43" s="67" t="n">
        <f aca="false">-Payables!K10</f>
        <v>-272849.15</v>
      </c>
      <c r="L43" s="67" t="n">
        <f aca="false">-Payables!L10</f>
        <v>-190772.21</v>
      </c>
      <c r="M43" s="67" t="n">
        <f aca="false">-Payables!M10</f>
        <v>-99562.9462999999</v>
      </c>
      <c r="N43" s="67" t="n">
        <f aca="false">-Payables!N10</f>
        <v>-321225.06242</v>
      </c>
      <c r="O43" s="67" t="n">
        <f aca="false">-Payables!O10</f>
        <v>-291670.628583226</v>
      </c>
      <c r="P43" s="67" t="n">
        <f aca="false">-Payables!P10</f>
        <v>-221144.618776774</v>
      </c>
      <c r="Q43" s="67" t="n">
        <f aca="false">-Payables!Q10</f>
        <v>-205969.532449032</v>
      </c>
      <c r="R43" s="67" t="n">
        <f aca="false">-Payables!R10</f>
        <v>-186246.238141936</v>
      </c>
      <c r="S43" s="67" t="n">
        <f aca="false">-Payables!S10</f>
        <v>-219206.352929032</v>
      </c>
      <c r="T43" s="67" t="n">
        <f aca="false">-Payables!T10</f>
        <v>-237413.577909677</v>
      </c>
      <c r="U43" s="67" t="n">
        <f aca="false">-Payables!U10</f>
        <v>-205053.174090323</v>
      </c>
      <c r="V43" s="67" t="n">
        <f aca="false">-Payables!V10</f>
        <v>-224939.589780645</v>
      </c>
      <c r="W43" s="67" t="n">
        <f aca="false">-Payables!W10</f>
        <v>-265715.137899355</v>
      </c>
      <c r="X43" s="67" t="n">
        <f aca="false">-Payables!X10</f>
        <v>-181333.405894194</v>
      </c>
      <c r="Y43" s="67" t="n">
        <f aca="false">-Payables!Y10</f>
        <v>-101615.026374194</v>
      </c>
      <c r="Z43" s="67" t="n">
        <f aca="false">-Payables!Z10</f>
        <v>-325647.853171613</v>
      </c>
      <c r="AA43" s="67" t="n">
        <f aca="false">-Payables!AA10</f>
        <v>-291670.628583226</v>
      </c>
      <c r="AB43" s="67" t="n">
        <f aca="false">-Payables!AB10</f>
        <v>-221144.618776774</v>
      </c>
    </row>
    <row r="44" customFormat="false" ht="15" hidden="false" customHeight="false" outlineLevel="0" collapsed="false">
      <c r="A44" s="27" t="s">
        <v>548</v>
      </c>
      <c r="B44" s="63" t="s">
        <v>538</v>
      </c>
      <c r="C44" s="66" t="n">
        <f aca="false">SUM(E44:P44)</f>
        <v>-2022221.21105937</v>
      </c>
      <c r="D44" s="66" t="n">
        <f aca="false">SUM(Q44:AB44)</f>
        <v>-2111412.43016903</v>
      </c>
      <c r="E44" s="67" t="n">
        <f aca="false">-Payables!E14</f>
        <v>-193719.66</v>
      </c>
      <c r="F44" s="67" t="n">
        <f aca="false">-Payables!F14</f>
        <v>-349276.45</v>
      </c>
      <c r="G44" s="67" t="n">
        <f aca="false">-Payables!G14</f>
        <v>-139566.97</v>
      </c>
      <c r="H44" s="67" t="n">
        <f aca="false">-Payables!H14</f>
        <v>-159995.68</v>
      </c>
      <c r="I44" s="67" t="n">
        <f aca="false">-Payables!I14</f>
        <v>-146302.45</v>
      </c>
      <c r="J44" s="67" t="n">
        <f aca="false">-Payables!J14</f>
        <v>-141212.09</v>
      </c>
      <c r="K44" s="67" t="n">
        <f aca="false">-Payables!K14</f>
        <v>-151673.02</v>
      </c>
      <c r="L44" s="67" t="n">
        <f aca="false">-Payables!L14</f>
        <v>-141778.32</v>
      </c>
      <c r="M44" s="67" t="n">
        <f aca="false">-Payables!M14</f>
        <v>-118786.577</v>
      </c>
      <c r="N44" s="67" t="n">
        <f aca="false">-Payables!N14</f>
        <v>-159519.01229085</v>
      </c>
      <c r="O44" s="67" t="n">
        <f aca="false">-Payables!O14</f>
        <v>-156769.644123452</v>
      </c>
      <c r="P44" s="67" t="n">
        <f aca="false">-Payables!P14</f>
        <v>-163621.337645068</v>
      </c>
      <c r="Q44" s="67" t="n">
        <f aca="false">-Payables!Q14</f>
        <v>-182444.775940173</v>
      </c>
      <c r="R44" s="67" t="n">
        <f aca="false">-Payables!R14</f>
        <v>-367204.535563149</v>
      </c>
      <c r="S44" s="67" t="n">
        <f aca="false">-Payables!S14</f>
        <v>-148183.123346489</v>
      </c>
      <c r="T44" s="67" t="n">
        <f aca="false">-Payables!T14</f>
        <v>-165929.736729392</v>
      </c>
      <c r="U44" s="67" t="n">
        <f aca="false">-Payables!U14</f>
        <v>-153168.402332027</v>
      </c>
      <c r="V44" s="67" t="n">
        <f aca="false">-Payables!V14</f>
        <v>-149979.339068048</v>
      </c>
      <c r="W44" s="67" t="n">
        <f aca="false">-Payables!W14</f>
        <v>-161383.269345236</v>
      </c>
      <c r="X44" s="67" t="n">
        <f aca="false">-Payables!X14</f>
        <v>-149740.693572653</v>
      </c>
      <c r="Y44" s="67" t="n">
        <f aca="false">-Payables!Y14</f>
        <v>-126935.40660711</v>
      </c>
      <c r="Z44" s="67" t="n">
        <f aca="false">-Payables!Z14</f>
        <v>-169873.062572101</v>
      </c>
      <c r="AA44" s="67" t="n">
        <f aca="false">-Payables!AA14</f>
        <v>-167277.281996835</v>
      </c>
      <c r="AB44" s="67" t="n">
        <f aca="false">-Payables!AB14</f>
        <v>-169292.803095816</v>
      </c>
    </row>
    <row r="45" customFormat="false" ht="15" hidden="false" customHeight="false" outlineLevel="0" collapsed="false">
      <c r="A45" s="27" t="s">
        <v>549</v>
      </c>
      <c r="B45" s="63" t="s">
        <v>538</v>
      </c>
      <c r="C45" s="66" t="n">
        <f aca="false">SUM(E45:P45)</f>
        <v>-240504.970361263</v>
      </c>
      <c r="D45" s="66" t="n">
        <f aca="false">SUM(Q45:AB45)</f>
        <v>-263996.505724817</v>
      </c>
      <c r="E45" s="67" t="n">
        <f aca="false">-Payables!E19</f>
        <v>-19321.57</v>
      </c>
      <c r="F45" s="67" t="n">
        <f aca="false">-Payables!F19</f>
        <v>-19196.39</v>
      </c>
      <c r="G45" s="67" t="n">
        <f aca="false">-Payables!G19</f>
        <v>-19532.52</v>
      </c>
      <c r="H45" s="67" t="n">
        <f aca="false">-Payables!H19</f>
        <v>-20019.3</v>
      </c>
      <c r="I45" s="67" t="n">
        <f aca="false">-Payables!I19</f>
        <v>-20160.36</v>
      </c>
      <c r="J45" s="67" t="n">
        <f aca="false">-Payables!J19</f>
        <v>-19710.27</v>
      </c>
      <c r="K45" s="67" t="n">
        <f aca="false">-Payables!K19</f>
        <v>-19650.61</v>
      </c>
      <c r="L45" s="67" t="n">
        <f aca="false">-Payables!L19</f>
        <v>-20065.48</v>
      </c>
      <c r="M45" s="67" t="n">
        <f aca="false">-Payables!M19</f>
        <v>-20449.917124662</v>
      </c>
      <c r="N45" s="67" t="n">
        <f aca="false">-Payables!N19</f>
        <v>-20483.1278548373</v>
      </c>
      <c r="O45" s="67" t="n">
        <f aca="false">-Payables!O19</f>
        <v>-20412.6608829381</v>
      </c>
      <c r="P45" s="67" t="n">
        <f aca="false">-Payables!P19</f>
        <v>-21502.7644988254</v>
      </c>
      <c r="Q45" s="67" t="n">
        <f aca="false">-Payables!Q19</f>
        <v>-21488.8472195842</v>
      </c>
      <c r="R45" s="67" t="n">
        <f aca="false">-Payables!R19</f>
        <v>-21742.3686474888</v>
      </c>
      <c r="S45" s="67" t="n">
        <f aca="false">-Payables!S19</f>
        <v>-22031.384601173</v>
      </c>
      <c r="T45" s="67" t="n">
        <f aca="false">-Payables!T19</f>
        <v>-21899.6162492307</v>
      </c>
      <c r="U45" s="67" t="n">
        <f aca="false">-Payables!U19</f>
        <v>-22065.9334007674</v>
      </c>
      <c r="V45" s="67" t="n">
        <f aca="false">-Payables!V19</f>
        <v>-22084.2681644399</v>
      </c>
      <c r="W45" s="67" t="n">
        <f aca="false">-Payables!W19</f>
        <v>-22121.9402781964</v>
      </c>
      <c r="X45" s="67" t="n">
        <f aca="false">-Payables!X19</f>
        <v>-22142.4358976941</v>
      </c>
      <c r="Y45" s="67" t="n">
        <f aca="false">-Payables!Y19</f>
        <v>-22061.6372395006</v>
      </c>
      <c r="Z45" s="67" t="n">
        <f aca="false">-Payables!Z19</f>
        <v>-22099.3074022724</v>
      </c>
      <c r="AA45" s="67" t="n">
        <f aca="false">-Payables!AA19</f>
        <v>-22125.0353101878</v>
      </c>
      <c r="AB45" s="67" t="n">
        <f aca="false">-Payables!AB19</f>
        <v>-22133.7313142819</v>
      </c>
    </row>
    <row r="46" customFormat="false" ht="15" hidden="false" customHeight="false" outlineLevel="0" collapsed="false">
      <c r="A46" s="27" t="s">
        <v>550</v>
      </c>
      <c r="B46" s="63" t="s">
        <v>538</v>
      </c>
      <c r="C46" s="66" t="n">
        <f aca="false">SUM(E46:P46)</f>
        <v>-668298.199642441</v>
      </c>
      <c r="D46" s="66" t="n">
        <f aca="false">SUM(Q46:AB46)</f>
        <v>-691793.226195756</v>
      </c>
      <c r="E46" s="67" t="n">
        <f aca="false">-Payables!E25</f>
        <v>-41041.89</v>
      </c>
      <c r="F46" s="67" t="n">
        <f aca="false">-Payables!F25</f>
        <v>-38265.72</v>
      </c>
      <c r="G46" s="67" t="n">
        <f aca="false">-Payables!G25</f>
        <v>-44873.9</v>
      </c>
      <c r="H46" s="67" t="n">
        <f aca="false">-Payables!H25</f>
        <v>-71149.64</v>
      </c>
      <c r="I46" s="67" t="n">
        <f aca="false">-Payables!I25</f>
        <v>-51792.63</v>
      </c>
      <c r="J46" s="67" t="n">
        <f aca="false">-Payables!J25</f>
        <v>-61416.53</v>
      </c>
      <c r="K46" s="67" t="n">
        <f aca="false">-Payables!K25</f>
        <v>-60928.04</v>
      </c>
      <c r="L46" s="67" t="n">
        <f aca="false">-Payables!L25</f>
        <v>-59626.62</v>
      </c>
      <c r="M46" s="67" t="n">
        <f aca="false">-Payables!M25</f>
        <v>-45069.4557</v>
      </c>
      <c r="N46" s="67" t="n">
        <f aca="false">-Payables!N25</f>
        <v>-48958.839302</v>
      </c>
      <c r="O46" s="67" t="n">
        <f aca="false">-Payables!O25</f>
        <v>-77078.4947953826</v>
      </c>
      <c r="P46" s="67" t="n">
        <f aca="false">-Payables!P25</f>
        <v>-68096.4398450583</v>
      </c>
      <c r="Q46" s="67" t="n">
        <f aca="false">-Payables!Q25</f>
        <v>-48810.306202228</v>
      </c>
      <c r="R46" s="67" t="n">
        <f aca="false">-Payables!R25</f>
        <v>-67847.4848770358</v>
      </c>
      <c r="S46" s="67" t="n">
        <f aca="false">-Payables!S25</f>
        <v>-53898.6933577013</v>
      </c>
      <c r="T46" s="67" t="n">
        <f aca="false">-Payables!T25</f>
        <v>-68385.3155576985</v>
      </c>
      <c r="U46" s="67" t="n">
        <f aca="false">-Payables!U25</f>
        <v>-58795.2887612818</v>
      </c>
      <c r="V46" s="67" t="n">
        <f aca="false">-Payables!V25</f>
        <v>-60950.6638332364</v>
      </c>
      <c r="W46" s="67" t="n">
        <f aca="false">-Payables!W25</f>
        <v>-59911.3971402832</v>
      </c>
      <c r="X46" s="67" t="n">
        <f aca="false">-Payables!X25</f>
        <v>-53386.9012325619</v>
      </c>
      <c r="Y46" s="67" t="n">
        <f aca="false">-Payables!Y25</f>
        <v>-45449.0361087844</v>
      </c>
      <c r="Z46" s="67" t="n">
        <f aca="false">-Payables!Z25</f>
        <v>-55031.3581049341</v>
      </c>
      <c r="AA46" s="67" t="n">
        <f aca="false">-Payables!AA25</f>
        <v>-63629.8124289506</v>
      </c>
      <c r="AB46" s="67" t="n">
        <f aca="false">-Payables!AB25</f>
        <v>-55696.9685910601</v>
      </c>
    </row>
    <row r="47" customFormat="false" ht="15" hidden="false" customHeight="false" outlineLevel="0" collapsed="false">
      <c r="A47" s="27" t="s">
        <v>551</v>
      </c>
      <c r="B47" s="63" t="s">
        <v>538</v>
      </c>
      <c r="C47" s="66" t="n">
        <f aca="false">SUM(E47:P47)</f>
        <v>-186780.341686425</v>
      </c>
      <c r="D47" s="66" t="n">
        <f aca="false">SUM(Q47:AB47)</f>
        <v>-200110.088056593</v>
      </c>
      <c r="E47" s="67" t="n">
        <f aca="false">-Overheads!E32</f>
        <v>-16102.1185</v>
      </c>
      <c r="F47" s="67" t="n">
        <f aca="false">-Overheads!F32</f>
        <v>-15925.6652</v>
      </c>
      <c r="G47" s="67" t="n">
        <f aca="false">-Overheads!G32</f>
        <v>-14697.0943</v>
      </c>
      <c r="H47" s="67" t="n">
        <f aca="false">-Overheads!H32</f>
        <v>-14607.3129</v>
      </c>
      <c r="I47" s="67" t="n">
        <f aca="false">-Overheads!I32</f>
        <v>-15080.9995</v>
      </c>
      <c r="J47" s="67" t="n">
        <f aca="false">-Overheads!J32</f>
        <v>-15945.7674</v>
      </c>
      <c r="K47" s="67" t="n">
        <f aca="false">-Overheads!K32</f>
        <v>-15615.2122</v>
      </c>
      <c r="L47" s="67" t="n">
        <f aca="false">-Overheads!L32</f>
        <v>-16004.1479</v>
      </c>
      <c r="M47" s="67" t="n">
        <f aca="false">-Overheads!M32</f>
        <v>-15740.7</v>
      </c>
      <c r="N47" s="67" t="n">
        <f aca="false">-Overheads!N32</f>
        <v>-15686.0451666667</v>
      </c>
      <c r="O47" s="67" t="n">
        <f aca="false">-Overheads!O32</f>
        <v>-15687.3279730556</v>
      </c>
      <c r="P47" s="67" t="n">
        <f aca="false">-Overheads!P32</f>
        <v>-15687.9506467032</v>
      </c>
      <c r="Q47" s="67" t="n">
        <f aca="false">-Overheads!Q32</f>
        <v>-16080.1266265054</v>
      </c>
      <c r="R47" s="67" t="n">
        <f aca="false">-Overheads!R32</f>
        <v>-16080.1194462073</v>
      </c>
      <c r="S47" s="67" t="n">
        <f aca="false">-Overheads!S32</f>
        <v>-16080.1197958184</v>
      </c>
      <c r="T47" s="67" t="n">
        <f aca="false">-Overheads!T32</f>
        <v>-16889.8698755097</v>
      </c>
      <c r="U47" s="67" t="n">
        <f aca="false">-Overheads!U32</f>
        <v>-16880.4227871678</v>
      </c>
      <c r="V47" s="67" t="n">
        <f aca="false">-Overheads!V32</f>
        <v>-16871.0859189354</v>
      </c>
      <c r="W47" s="67" t="n">
        <f aca="false">-Overheads!W32</f>
        <v>-16871.3050650955</v>
      </c>
      <c r="X47" s="67" t="n">
        <f aca="false">-Overheads!X32</f>
        <v>-16871.4114385196</v>
      </c>
      <c r="Y47" s="67" t="n">
        <f aca="false">-Overheads!Y32</f>
        <v>-16871.4076407912</v>
      </c>
      <c r="Z47" s="67" t="n">
        <f aca="false">-Overheads!Z32</f>
        <v>-16871.4064440747</v>
      </c>
      <c r="AA47" s="67" t="n">
        <f aca="false">-Overheads!AA32</f>
        <v>-16871.4065023432</v>
      </c>
      <c r="AB47" s="67" t="n">
        <f aca="false">-Overheads!AB32</f>
        <v>-16871.4065156251</v>
      </c>
    </row>
    <row r="48" customFormat="false" ht="15" hidden="false" customHeight="false" outlineLevel="0" collapsed="false">
      <c r="A48" s="27" t="s">
        <v>552</v>
      </c>
      <c r="B48" s="63" t="s">
        <v>538</v>
      </c>
      <c r="C48" s="66" t="n">
        <f aca="false">SUM(E48:P48)</f>
        <v>-94500</v>
      </c>
      <c r="D48" s="66" t="n">
        <f aca="false">SUM(Q48:AB48)</f>
        <v>-96862.5</v>
      </c>
      <c r="E48" s="67" t="n">
        <f aca="false">-Overheads!E27</f>
        <v>-7875</v>
      </c>
      <c r="F48" s="67" t="n">
        <f aca="false">-Overheads!F27</f>
        <v>-7875</v>
      </c>
      <c r="G48" s="67" t="n">
        <f aca="false">-Overheads!G27</f>
        <v>-7875</v>
      </c>
      <c r="H48" s="67" t="n">
        <f aca="false">-Overheads!H27</f>
        <v>-7875</v>
      </c>
      <c r="I48" s="67" t="n">
        <f aca="false">-Overheads!I27</f>
        <v>-7875</v>
      </c>
      <c r="J48" s="67" t="n">
        <f aca="false">-Overheads!J27</f>
        <v>-7875</v>
      </c>
      <c r="K48" s="67" t="n">
        <f aca="false">-Overheads!K27</f>
        <v>-7875</v>
      </c>
      <c r="L48" s="67" t="n">
        <f aca="false">-Overheads!L27</f>
        <v>-7875</v>
      </c>
      <c r="M48" s="67" t="n">
        <f aca="false">-Overheads!M27</f>
        <v>-7875</v>
      </c>
      <c r="N48" s="67" t="n">
        <f aca="false">-Overheads!N27</f>
        <v>-7875</v>
      </c>
      <c r="O48" s="67" t="n">
        <f aca="false">-Overheads!O27</f>
        <v>-7875</v>
      </c>
      <c r="P48" s="67" t="n">
        <f aca="false">-Overheads!P27</f>
        <v>-7875</v>
      </c>
      <c r="Q48" s="67" t="n">
        <f aca="false">-Overheads!Q27</f>
        <v>-8071.875</v>
      </c>
      <c r="R48" s="67" t="n">
        <f aca="false">-Overheads!R27</f>
        <v>-8071.875</v>
      </c>
      <c r="S48" s="67" t="n">
        <f aca="false">-Overheads!S27</f>
        <v>-8071.875</v>
      </c>
      <c r="T48" s="67" t="n">
        <f aca="false">-Overheads!T27</f>
        <v>-8071.875</v>
      </c>
      <c r="U48" s="67" t="n">
        <f aca="false">-Overheads!U27</f>
        <v>-8071.875</v>
      </c>
      <c r="V48" s="67" t="n">
        <f aca="false">-Overheads!V27</f>
        <v>-8071.875</v>
      </c>
      <c r="W48" s="67" t="n">
        <f aca="false">-Overheads!W27</f>
        <v>-8071.875</v>
      </c>
      <c r="X48" s="67" t="n">
        <f aca="false">-Overheads!X27</f>
        <v>-8071.875</v>
      </c>
      <c r="Y48" s="67" t="n">
        <f aca="false">-Overheads!Y27</f>
        <v>-8071.875</v>
      </c>
      <c r="Z48" s="67" t="n">
        <f aca="false">-Overheads!Z27</f>
        <v>-8071.875</v>
      </c>
      <c r="AA48" s="67" t="n">
        <f aca="false">-Overheads!AA27</f>
        <v>-8071.875</v>
      </c>
      <c r="AB48" s="67" t="n">
        <f aca="false">-Overheads!AB27</f>
        <v>-8071.875</v>
      </c>
    </row>
    <row r="49" customFormat="false" ht="15" hidden="false" customHeight="false" outlineLevel="0" collapsed="false">
      <c r="A49" s="27" t="s">
        <v>71</v>
      </c>
      <c r="B49" s="63" t="s">
        <v>538</v>
      </c>
      <c r="C49" s="66" t="n">
        <f aca="false">SUM(E49:P49)</f>
        <v>-601996.370066787</v>
      </c>
      <c r="D49" s="66" t="n">
        <f aca="false">SUM(Q49:AB49)</f>
        <v>-726362.186177714</v>
      </c>
      <c r="E49" s="67" t="n">
        <f aca="false">-VAT!E13</f>
        <v>-72032.56</v>
      </c>
      <c r="F49" s="67" t="n">
        <f aca="false">-VAT!F13</f>
        <v>-63480.47</v>
      </c>
      <c r="G49" s="67" t="n">
        <f aca="false">-VAT!G13</f>
        <v>-55311.12</v>
      </c>
      <c r="H49" s="67" t="n">
        <f aca="false">-VAT!H13</f>
        <v>-43816.63</v>
      </c>
      <c r="I49" s="67" t="n">
        <f aca="false">-VAT!I13</f>
        <v>-38392.7</v>
      </c>
      <c r="J49" s="67" t="n">
        <f aca="false">-VAT!J13</f>
        <v>-61335.95</v>
      </c>
      <c r="K49" s="67" t="n">
        <f aca="false">-VAT!K13</f>
        <v>-46260.95</v>
      </c>
      <c r="L49" s="67" t="n">
        <f aca="false">-VAT!L13</f>
        <v>-0</v>
      </c>
      <c r="M49" s="67" t="n">
        <f aca="false">-VAT!M13</f>
        <v>-87264.6245333781</v>
      </c>
      <c r="N49" s="67" t="n">
        <f aca="false">-VAT!N13</f>
        <v>-50238.050545006</v>
      </c>
      <c r="O49" s="67" t="n">
        <f aca="false">-VAT!O13</f>
        <v>-39917.4806528718</v>
      </c>
      <c r="P49" s="67" t="n">
        <f aca="false">-VAT!P13</f>
        <v>-43945.8343355311</v>
      </c>
      <c r="Q49" s="67" t="n">
        <f aca="false">-VAT!Q13</f>
        <v>-75591.5553509285</v>
      </c>
      <c r="R49" s="67" t="n">
        <f aca="false">-VAT!R13</f>
        <v>-57739.370832186</v>
      </c>
      <c r="S49" s="67" t="n">
        <f aca="false">-VAT!S13</f>
        <v>-67029.9992555439</v>
      </c>
      <c r="T49" s="67" t="n">
        <f aca="false">-VAT!T13</f>
        <v>-57573.2341972559</v>
      </c>
      <c r="U49" s="67" t="n">
        <f aca="false">-VAT!U13</f>
        <v>-57402.3274613611</v>
      </c>
      <c r="V49" s="67" t="n">
        <f aca="false">-VAT!V13</f>
        <v>-60642.2630629522</v>
      </c>
      <c r="W49" s="67" t="n">
        <f aca="false">-VAT!W13</f>
        <v>-57733.8807981696</v>
      </c>
      <c r="X49" s="67" t="n">
        <f aca="false">-VAT!X13</f>
        <v>-0</v>
      </c>
      <c r="Y49" s="67" t="n">
        <f aca="false">-VAT!Y13</f>
        <v>-121685.125225025</v>
      </c>
      <c r="Z49" s="67" t="n">
        <f aca="false">-VAT!Z13</f>
        <v>-60554.8717107852</v>
      </c>
      <c r="AA49" s="67" t="n">
        <f aca="false">-VAT!AA13</f>
        <v>-49617.5215239076</v>
      </c>
      <c r="AB49" s="67" t="n">
        <f aca="false">-VAT!AB13</f>
        <v>-60792.0367595989</v>
      </c>
    </row>
    <row r="50" customFormat="false" ht="15" hidden="false" customHeight="false" outlineLevel="0" collapsed="false">
      <c r="A50" s="27" t="s">
        <v>553</v>
      </c>
      <c r="B50" s="63" t="s">
        <v>538</v>
      </c>
      <c r="C50" s="66" t="n">
        <f aca="false">SUM(E50:P50)</f>
        <v>-325006.735</v>
      </c>
      <c r="D50" s="66" t="n">
        <f aca="false">SUM(Q50:AB50)</f>
        <v>-122851.589358856</v>
      </c>
      <c r="E50" s="67" t="n">
        <f aca="false">-(Tax!E15+Tax!E16)</f>
        <v>-0</v>
      </c>
      <c r="F50" s="67" t="n">
        <f aca="false">-(Tax!F15+Tax!F16)</f>
        <v>-0</v>
      </c>
      <c r="G50" s="67" t="n">
        <f aca="false">-(Tax!G15+Tax!G16)</f>
        <v>-0</v>
      </c>
      <c r="H50" s="67" t="n">
        <f aca="false">-(Tax!H15+Tax!H16)</f>
        <v>-0</v>
      </c>
      <c r="I50" s="67" t="n">
        <f aca="false">-(Tax!I15+Tax!I16)</f>
        <v>-0</v>
      </c>
      <c r="J50" s="67" t="n">
        <f aca="false">-(Tax!J15+Tax!J16)</f>
        <v>-105752.96</v>
      </c>
      <c r="K50" s="67" t="n">
        <f aca="false">-(Tax!K15+Tax!K16)</f>
        <v>-73084.59</v>
      </c>
      <c r="L50" s="67" t="n">
        <f aca="false">-(Tax!L15+Tax!L16)</f>
        <v>-0</v>
      </c>
      <c r="M50" s="67" t="n">
        <f aca="false">-(Tax!M15+Tax!M16)</f>
        <v>-73084.5925</v>
      </c>
      <c r="N50" s="67" t="n">
        <f aca="false">-(Tax!N15+Tax!N16)</f>
        <v>-0</v>
      </c>
      <c r="O50" s="67" t="n">
        <f aca="false">-(Tax!O15+Tax!O16)</f>
        <v>-0</v>
      </c>
      <c r="P50" s="67" t="n">
        <f aca="false">-(Tax!P15+Tax!P16)</f>
        <v>-73084.5925</v>
      </c>
      <c r="Q50" s="67" t="n">
        <f aca="false">-(Tax!Q15+Tax!Q16)</f>
        <v>-0</v>
      </c>
      <c r="R50" s="67" t="n">
        <f aca="false">-(Tax!R15+Tax!R16)</f>
        <v>-0</v>
      </c>
      <c r="S50" s="67" t="n">
        <f aca="false">-(Tax!S15+Tax!S16)</f>
        <v>-0</v>
      </c>
      <c r="T50" s="67" t="n">
        <f aca="false">-(Tax!T15+Tax!T16)</f>
        <v>-0</v>
      </c>
      <c r="U50" s="67" t="n">
        <f aca="false">-(Tax!U15+Tax!U16)</f>
        <v>-0</v>
      </c>
      <c r="V50" s="67" t="n">
        <f aca="false">-(Tax!V15+Tax!V16)</f>
        <v>-0</v>
      </c>
      <c r="W50" s="67" t="n">
        <f aca="false">-(Tax!W15+Tax!W16)</f>
        <v>-40950.5297862854</v>
      </c>
      <c r="X50" s="67" t="n">
        <f aca="false">-(Tax!X15+Tax!X16)</f>
        <v>-0</v>
      </c>
      <c r="Y50" s="67" t="n">
        <f aca="false">-(Tax!Y15+Tax!Y16)</f>
        <v>-40950.5297862854</v>
      </c>
      <c r="Z50" s="67" t="n">
        <f aca="false">-(Tax!Z15+Tax!Z16)</f>
        <v>-0</v>
      </c>
      <c r="AA50" s="67" t="n">
        <f aca="false">-(Tax!AA15+Tax!AA16)</f>
        <v>-0</v>
      </c>
      <c r="AB50" s="67" t="n">
        <f aca="false">-(Tax!AB15+Tax!AB16)</f>
        <v>-40950.5297862854</v>
      </c>
    </row>
    <row r="51" customFormat="false" ht="15" hidden="false" customHeight="false" outlineLevel="0" collapsed="false">
      <c r="A51" s="27" t="s">
        <v>554</v>
      </c>
      <c r="B51" s="63" t="s">
        <v>538</v>
      </c>
      <c r="C51" s="66" t="n">
        <f aca="false">SUM(E51:P51)</f>
        <v>-53303.1394166667</v>
      </c>
      <c r="D51" s="66" t="n">
        <f aca="false">SUM(Q51:AB51)</f>
        <v>-35833.33625</v>
      </c>
      <c r="E51" s="67" t="n">
        <f aca="false">-Financing!E11</f>
        <v>-4752.58</v>
      </c>
      <c r="F51" s="67" t="n">
        <f aca="false">-Financing!F11</f>
        <v>-4640.22</v>
      </c>
      <c r="G51" s="67" t="n">
        <f aca="false">-Financing!G11</f>
        <v>-4699</v>
      </c>
      <c r="H51" s="67" t="n">
        <f aca="false">-Financing!H11</f>
        <v>-4704</v>
      </c>
      <c r="I51" s="67" t="n">
        <f aca="false">-Financing!I11</f>
        <v>-4652.08</v>
      </c>
      <c r="J51" s="67" t="n">
        <f aca="false">-Financing!J11</f>
        <v>-4578.67</v>
      </c>
      <c r="K51" s="67" t="n">
        <f aca="false">-Financing!K11</f>
        <v>-4477.92</v>
      </c>
      <c r="L51" s="67" t="n">
        <f aca="false">-Financing!L11</f>
        <v>-4409.78</v>
      </c>
      <c r="M51" s="67" t="n">
        <f aca="false">-Financing!M11</f>
        <v>-4305.55566666666</v>
      </c>
      <c r="N51" s="67" t="n">
        <f aca="false">-Financing!N11</f>
        <v>-4166.66679166667</v>
      </c>
      <c r="O51" s="67" t="n">
        <f aca="false">-Financing!O11</f>
        <v>-4027.77791666667</v>
      </c>
      <c r="P51" s="67" t="n">
        <f aca="false">-Financing!P11</f>
        <v>-3888.88904166667</v>
      </c>
      <c r="Q51" s="67" t="n">
        <f aca="false">-Financing!Q11</f>
        <v>-3750.00016666667</v>
      </c>
      <c r="R51" s="67" t="n">
        <f aca="false">-Financing!R11</f>
        <v>-3611.11129166667</v>
      </c>
      <c r="S51" s="67" t="n">
        <f aca="false">-Financing!S11</f>
        <v>-3472.22241666667</v>
      </c>
      <c r="T51" s="67" t="n">
        <f aca="false">-Financing!T11</f>
        <v>-3333.33354166667</v>
      </c>
      <c r="U51" s="67" t="n">
        <f aca="false">-Financing!U11</f>
        <v>-3194.44466666667</v>
      </c>
      <c r="V51" s="67" t="n">
        <f aca="false">-Financing!V11</f>
        <v>-3055.55579166667</v>
      </c>
      <c r="W51" s="67" t="n">
        <f aca="false">-Financing!W11</f>
        <v>-2916.66691666667</v>
      </c>
      <c r="X51" s="67" t="n">
        <f aca="false">-Financing!X11</f>
        <v>-2777.77804166667</v>
      </c>
      <c r="Y51" s="67" t="n">
        <f aca="false">-Financing!Y11</f>
        <v>-2638.88916666667</v>
      </c>
      <c r="Z51" s="67" t="n">
        <f aca="false">-Financing!Z11</f>
        <v>-2500.00029166667</v>
      </c>
      <c r="AA51" s="67" t="n">
        <f aca="false">-Financing!AA11</f>
        <v>-2361.11141666667</v>
      </c>
      <c r="AB51" s="67" t="n">
        <f aca="false">-Financing!AB11</f>
        <v>-2222.22254166667</v>
      </c>
    </row>
    <row r="52" customFormat="false" ht="15" hidden="false" customHeight="false" outlineLevel="0" collapsed="false">
      <c r="A52" s="27" t="s">
        <v>555</v>
      </c>
      <c r="B52" s="63" t="s">
        <v>538</v>
      </c>
      <c r="C52" s="66" t="n">
        <f aca="false">SUM(E52:P52)</f>
        <v>-399999.96</v>
      </c>
      <c r="D52" s="66" t="n">
        <f aca="false">SUM(Q52:AB52)</f>
        <v>-399999.96</v>
      </c>
      <c r="E52" s="67" t="n">
        <f aca="false">-Financing!E10</f>
        <v>-33333.33</v>
      </c>
      <c r="F52" s="67" t="n">
        <f aca="false">-Financing!F10</f>
        <v>-33333.33</v>
      </c>
      <c r="G52" s="67" t="n">
        <f aca="false">-Financing!G10</f>
        <v>-33333.33</v>
      </c>
      <c r="H52" s="67" t="n">
        <f aca="false">-Financing!H10</f>
        <v>-33333.33</v>
      </c>
      <c r="I52" s="67" t="n">
        <f aca="false">-Financing!I10</f>
        <v>-33333.33</v>
      </c>
      <c r="J52" s="67" t="n">
        <f aca="false">-Financing!J10</f>
        <v>-33333.33</v>
      </c>
      <c r="K52" s="67" t="n">
        <f aca="false">-Financing!K10</f>
        <v>-33333.33</v>
      </c>
      <c r="L52" s="67" t="n">
        <f aca="false">-Financing!L10</f>
        <v>-33333.33</v>
      </c>
      <c r="M52" s="67" t="n">
        <f aca="false">-Financing!M10</f>
        <v>-33333.33</v>
      </c>
      <c r="N52" s="67" t="n">
        <f aca="false">-Financing!N10</f>
        <v>-33333.33</v>
      </c>
      <c r="O52" s="67" t="n">
        <f aca="false">-Financing!O10</f>
        <v>-33333.33</v>
      </c>
      <c r="P52" s="67" t="n">
        <f aca="false">-Financing!P10</f>
        <v>-33333.33</v>
      </c>
      <c r="Q52" s="67" t="n">
        <f aca="false">-Financing!Q10</f>
        <v>-33333.33</v>
      </c>
      <c r="R52" s="67" t="n">
        <f aca="false">-Financing!R10</f>
        <v>-33333.33</v>
      </c>
      <c r="S52" s="67" t="n">
        <f aca="false">-Financing!S10</f>
        <v>-33333.33</v>
      </c>
      <c r="T52" s="67" t="n">
        <f aca="false">-Financing!T10</f>
        <v>-33333.33</v>
      </c>
      <c r="U52" s="67" t="n">
        <f aca="false">-Financing!U10</f>
        <v>-33333.33</v>
      </c>
      <c r="V52" s="67" t="n">
        <f aca="false">-Financing!V10</f>
        <v>-33333.33</v>
      </c>
      <c r="W52" s="67" t="n">
        <f aca="false">-Financing!W10</f>
        <v>-33333.33</v>
      </c>
      <c r="X52" s="67" t="n">
        <f aca="false">-Financing!X10</f>
        <v>-33333.33</v>
      </c>
      <c r="Y52" s="67" t="n">
        <f aca="false">-Financing!Y10</f>
        <v>-33333.33</v>
      </c>
      <c r="Z52" s="67" t="n">
        <f aca="false">-Financing!Z10</f>
        <v>-33333.33</v>
      </c>
      <c r="AA52" s="67" t="n">
        <f aca="false">-Financing!AA10</f>
        <v>-33333.33</v>
      </c>
      <c r="AB52" s="67" t="n">
        <f aca="false">-Financing!AB10</f>
        <v>-33333.33</v>
      </c>
    </row>
    <row r="53" customFormat="false" ht="15" hidden="false" customHeight="false" outlineLevel="0" collapsed="false">
      <c r="A53" s="27" t="s">
        <v>556</v>
      </c>
      <c r="B53" s="63" t="s">
        <v>538</v>
      </c>
      <c r="C53" s="66" t="n">
        <f aca="false">SUM(E53:P53)</f>
        <v>-259200</v>
      </c>
      <c r="D53" s="66" t="n">
        <f aca="false">SUM(Q53:AB53)</f>
        <v>0</v>
      </c>
      <c r="E53" s="67" t="n">
        <f aca="false">-Financing!E27</f>
        <v>-0</v>
      </c>
      <c r="F53" s="67" t="n">
        <f aca="false">-Financing!F27</f>
        <v>-0</v>
      </c>
      <c r="G53" s="67" t="n">
        <f aca="false">-Financing!G27</f>
        <v>-0</v>
      </c>
      <c r="H53" s="67" t="n">
        <f aca="false">-Financing!H27</f>
        <v>-0</v>
      </c>
      <c r="I53" s="67" t="n">
        <f aca="false">-Financing!I27</f>
        <v>-259200</v>
      </c>
      <c r="J53" s="67" t="n">
        <f aca="false">-Financing!J27</f>
        <v>-0</v>
      </c>
      <c r="K53" s="67" t="n">
        <f aca="false">-Financing!K27</f>
        <v>-0</v>
      </c>
      <c r="L53" s="67" t="n">
        <f aca="false">-Financing!L27</f>
        <v>-0</v>
      </c>
      <c r="M53" s="67" t="n">
        <f aca="false">-Financing!M27</f>
        <v>-0</v>
      </c>
      <c r="N53" s="67" t="n">
        <f aca="false">-Financing!N27</f>
        <v>-0</v>
      </c>
      <c r="O53" s="67" t="n">
        <f aca="false">-Financing!O27</f>
        <v>-0</v>
      </c>
      <c r="P53" s="67" t="n">
        <f aca="false">-Financing!P27</f>
        <v>-0</v>
      </c>
      <c r="Q53" s="67" t="n">
        <f aca="false">-Financing!Q27</f>
        <v>-0</v>
      </c>
      <c r="R53" s="67" t="n">
        <f aca="false">-Financing!R27</f>
        <v>-0</v>
      </c>
      <c r="S53" s="67" t="n">
        <f aca="false">-Financing!S27</f>
        <v>-0</v>
      </c>
      <c r="T53" s="67" t="n">
        <f aca="false">-Financing!T27</f>
        <v>-0</v>
      </c>
      <c r="U53" s="67" t="n">
        <f aca="false">-Financing!U27</f>
        <v>-0</v>
      </c>
      <c r="V53" s="67" t="n">
        <f aca="false">-Financing!V27</f>
        <v>-0</v>
      </c>
      <c r="W53" s="67" t="n">
        <f aca="false">-Financing!W27</f>
        <v>-0</v>
      </c>
      <c r="X53" s="67" t="n">
        <f aca="false">-Financing!X27</f>
        <v>-0</v>
      </c>
      <c r="Y53" s="67" t="n">
        <f aca="false">-Financing!Y27</f>
        <v>-0</v>
      </c>
      <c r="Z53" s="67" t="n">
        <f aca="false">-Financing!Z27</f>
        <v>-0</v>
      </c>
      <c r="AA53" s="67" t="n">
        <f aca="false">-Financing!AA27</f>
        <v>-0</v>
      </c>
      <c r="AB53" s="67" t="n">
        <f aca="false">-Financing!AB27</f>
        <v>-0</v>
      </c>
    </row>
    <row r="54" customFormat="false" ht="15" hidden="false" customHeight="false" outlineLevel="0" collapsed="false">
      <c r="A54" s="27" t="s">
        <v>557</v>
      </c>
      <c r="B54" s="63" t="s">
        <v>538</v>
      </c>
      <c r="C54" s="66" t="n">
        <f aca="false">SUM(E54:P54)</f>
        <v>-100800</v>
      </c>
      <c r="D54" s="66" t="n">
        <f aca="false">SUM(Q54:AB54)</f>
        <v>0</v>
      </c>
      <c r="E54" s="67" t="n">
        <f aca="false">-Financing!E30</f>
        <v>-0</v>
      </c>
      <c r="F54" s="67" t="n">
        <f aca="false">-Financing!F30</f>
        <v>-0</v>
      </c>
      <c r="G54" s="67" t="n">
        <f aca="false">-Financing!G30</f>
        <v>-0</v>
      </c>
      <c r="H54" s="67" t="n">
        <f aca="false">-Financing!H30</f>
        <v>-0</v>
      </c>
      <c r="I54" s="67" t="n">
        <f aca="false">-Financing!I30</f>
        <v>-0</v>
      </c>
      <c r="J54" s="67" t="n">
        <f aca="false">-Financing!J30</f>
        <v>-100800</v>
      </c>
      <c r="K54" s="67" t="n">
        <f aca="false">-Financing!K30</f>
        <v>-0</v>
      </c>
      <c r="L54" s="67" t="n">
        <f aca="false">-Financing!L30</f>
        <v>-0</v>
      </c>
      <c r="M54" s="67" t="n">
        <f aca="false">-Financing!M30</f>
        <v>-0</v>
      </c>
      <c r="N54" s="67" t="n">
        <f aca="false">-Financing!N30</f>
        <v>-0</v>
      </c>
      <c r="O54" s="67" t="n">
        <f aca="false">-Financing!O30</f>
        <v>-0</v>
      </c>
      <c r="P54" s="67" t="n">
        <f aca="false">-Financing!P30</f>
        <v>-0</v>
      </c>
      <c r="Q54" s="67" t="n">
        <f aca="false">-Financing!Q30</f>
        <v>-0</v>
      </c>
      <c r="R54" s="67" t="n">
        <f aca="false">-Financing!R30</f>
        <v>-0</v>
      </c>
      <c r="S54" s="67" t="n">
        <f aca="false">-Financing!S30</f>
        <v>-0</v>
      </c>
      <c r="T54" s="67" t="n">
        <f aca="false">-Financing!T30</f>
        <v>-0</v>
      </c>
      <c r="U54" s="67" t="n">
        <f aca="false">-Financing!U30</f>
        <v>-0</v>
      </c>
      <c r="V54" s="67" t="n">
        <f aca="false">-Financing!V30</f>
        <v>-0</v>
      </c>
      <c r="W54" s="67" t="n">
        <f aca="false">-Financing!W30</f>
        <v>-0</v>
      </c>
      <c r="X54" s="67" t="n">
        <f aca="false">-Financing!X30</f>
        <v>-0</v>
      </c>
      <c r="Y54" s="67" t="n">
        <f aca="false">-Financing!Y30</f>
        <v>-0</v>
      </c>
      <c r="Z54" s="67" t="n">
        <f aca="false">-Financing!Z30</f>
        <v>-0</v>
      </c>
      <c r="AA54" s="67" t="n">
        <f aca="false">-Financing!AA30</f>
        <v>-0</v>
      </c>
      <c r="AB54" s="67" t="n">
        <f aca="false">-Financing!AB30</f>
        <v>-0</v>
      </c>
    </row>
    <row r="55" customFormat="false" ht="15" hidden="false" customHeight="false" outlineLevel="0" collapsed="false">
      <c r="A55" s="59" t="s">
        <v>558</v>
      </c>
      <c r="B55" s="60"/>
      <c r="C55" s="61" t="n">
        <f aca="false">SUM(E55:P55)</f>
        <v>-245774.487577802</v>
      </c>
      <c r="D55" s="61" t="n">
        <f aca="false">SUM(Q55:AB55)</f>
        <v>499991.946462669</v>
      </c>
      <c r="E55" s="61" t="n">
        <f aca="false">E34+E35+E36+E37+E38+E39+E40+E41+E42+E43+E44+E45+E46+E47+E48+E49+E50+E51+E52+E53+E54</f>
        <v>131285.6915</v>
      </c>
      <c r="F55" s="61" t="n">
        <f aca="false">F34+F35+F36+F37+F38+F39+F40+F41+F42+F43+F44+F45+F46+F47+F48+F49+F50+F51+F52+F53+F54</f>
        <v>109970.4548</v>
      </c>
      <c r="G55" s="61" t="n">
        <f aca="false">G34+G35+G36+G37+G38+G39+G40+G41+G42+G43+G44+G45+G46+G47+G48+G49+G50+G51+G52+G53+G54</f>
        <v>93846.0557</v>
      </c>
      <c r="H55" s="61" t="n">
        <f aca="false">H34+H35+H36+H37+H38+H39+H40+H41+H42+H43+H44+H45+H46+H47+H48+H49+H50+H51+H52+H53+H54</f>
        <v>-29472.6229</v>
      </c>
      <c r="I55" s="61" t="n">
        <f aca="false">I34+I35+I36+I37+I38+I39+I40+I41+I42+I43+I44+I45+I46+I47+I48+I49+I50+I51+I52+I53+I54</f>
        <v>-104388.5295</v>
      </c>
      <c r="J55" s="61" t="n">
        <f aca="false">J34+J35+J36+J37+J38+J39+J40+J41+J42+J43+J44+J45+J46+J47+J48+J49+J50+J51+J52+J53+J54</f>
        <v>-270761.3774</v>
      </c>
      <c r="K55" s="61" t="n">
        <f aca="false">K34+K35+K36+K37+K38+K39+K40+K41+K42+K43+K44+K45+K46+K47+K48+K49+K50+K51+K52+K53+K54</f>
        <v>-160811.4122</v>
      </c>
      <c r="L55" s="61" t="n">
        <f aca="false">L34+L35+L36+L37+L38+L39+L40+L41+L42+L43+L44+L45+L46+L47+L48+L49+L50+L51+L52+L53+L54</f>
        <v>122384.6121</v>
      </c>
      <c r="M55" s="61" t="n">
        <f aca="false">M34+M35+M36+M37+M38+M39+M40+M41+M42+M43+M44+M45+M46+M47+M48+M49+M50+M51+M52+M53+M54</f>
        <v>-36149.6653511154</v>
      </c>
      <c r="N55" s="61" t="n">
        <f aca="false">N34+N35+N36+N37+N38+N39+N40+N41+N42+N43+N44+N45+N46+N47+N48+N49+N50+N51+N52+N53+N54</f>
        <v>-58405.0243182167</v>
      </c>
      <c r="O55" s="61" t="n">
        <f aca="false">O34+O35+O36+O37+O38+O39+O40+O41+O42+O43+O44+O45+O46+O47+O48+O49+O50+O51+O52+O53+O54</f>
        <v>-58475.181716308</v>
      </c>
      <c r="P55" s="61" t="n">
        <f aca="false">P34+P35+P36+P37+P38+P39+P40+P41+P42+P43+P44+P45+P46+P47+P48+P49+P50+P51+P52+P53+P54</f>
        <v>15202.5117078378</v>
      </c>
      <c r="Q55" s="61" t="n">
        <f aca="false">Q34+Q35+Q36+Q37+Q38+Q39+Q40+Q41+Q42+Q43+Q44+Q45+Q46+Q47+Q48+Q49+Q50+Q51+Q52+Q53+Q54</f>
        <v>70699.4338684502</v>
      </c>
      <c r="R55" s="61" t="n">
        <f aca="false">R34+R35+R36+R37+R38+R39+R40+R41+R42+R43+R44+R45+R46+R47+R48+R49+R50+R51+R52+R53+R54</f>
        <v>68412.6496990041</v>
      </c>
      <c r="S55" s="61" t="n">
        <f aca="false">S34+S35+S36+S37+S38+S39+S40+S41+S42+S43+S44+S45+S46+S47+S48+S49+S50+S51+S52+S53+S54</f>
        <v>130286.796187553</v>
      </c>
      <c r="T55" s="61" t="n">
        <f aca="false">T34+T35+T36+T37+T38+T39+T40+T41+T42+T43+T44+T45+T46+T47+T48+T49+T50+T51+T52+T53+T54</f>
        <v>39995.641776588</v>
      </c>
      <c r="U55" s="61" t="n">
        <f aca="false">U34+U35+U36+U37+U38+U39+U40+U41+U42+U43+U44+U45+U46+U47+U48+U49+U50+U51+U52+U53+U54</f>
        <v>109191.361231714</v>
      </c>
      <c r="V55" s="61" t="n">
        <f aca="false">V34+V35+V36+V37+V38+V39+V40+V41+V42+V43+V44+V45+V46+V47+V48+V49+V50+V51+V52+V53+V54</f>
        <v>-55123.4104116405</v>
      </c>
      <c r="W55" s="61" t="n">
        <f aca="false">W34+W35+W36+W37+W38+W39+W40+W41+W42+W43+W44+W45+W46+W47+W48+W49+W50+W51+W52+W53+W54</f>
        <v>-69772.6895438686</v>
      </c>
      <c r="X55" s="61" t="n">
        <f aca="false">X34+X35+X36+X37+X38+X39+X40+X41+X42+X43+X44+X45+X46+X47+X48+X49+X50+X51+X52+X53+X54</f>
        <v>193042.569670185</v>
      </c>
      <c r="Y55" s="61" t="n">
        <f aca="false">Y34+Y35+Y36+Y37+Y38+Y39+Y40+Y41+Y42+Y43+Y44+Y45+Y46+Y47+Y48+Y49+Y50+Y51+Y52+Y53+Y54</f>
        <v>76520.4577528288</v>
      </c>
      <c r="Z55" s="61" t="n">
        <f aca="false">Z34+Z35+Z36+Z37+Z38+Z39+Z40+Z41+Z42+Z43+Z44+Z45+Z46+Z47+Z48+Z49+Z50+Z51+Z52+Z53+Z54</f>
        <v>-60002.7352764733</v>
      </c>
      <c r="AA55" s="61" t="n">
        <f aca="false">AA34+AA35+AA36+AA37+AA38+AA39+AA40+AA41+AA42+AA43+AA44+AA45+AA46+AA47+AA48+AA49+AA50+AA51+AA52+AA53+AA54</f>
        <v>-9164.2614750163</v>
      </c>
      <c r="AB55" s="61" t="n">
        <f aca="false">AB34+AB35+AB36+AB37+AB38+AB39+AB40+AB41+AB42+AB43+AB44+AB45+AB46+AB47+AB48+AB49+AB50+AB51+AB52+AB53+AB54</f>
        <v>5906.13298334501</v>
      </c>
    </row>
    <row r="56" customFormat="false" ht="15" hidden="false" customHeight="false" outlineLevel="0" collapsed="false">
      <c r="A56" s="59" t="s">
        <v>559</v>
      </c>
      <c r="B56" s="60"/>
      <c r="C56" s="61" t="n">
        <f aca="false">SUM(E56:P56)</f>
        <v>0.03</v>
      </c>
      <c r="D56" s="61" t="n">
        <f aca="false">SUM(Q56:AB56)</f>
        <v>0</v>
      </c>
      <c r="E56" s="61" t="n">
        <f aca="false">ROUND(E29-E55,2)</f>
        <v>0.01</v>
      </c>
      <c r="F56" s="61" t="n">
        <f aca="false">ROUND(F29-F55,2)</f>
        <v>0.02</v>
      </c>
      <c r="G56" s="61" t="n">
        <f aca="false">ROUND(G29-G55,2)</f>
        <v>-0</v>
      </c>
      <c r="H56" s="61" t="n">
        <f aca="false">ROUND(H29-H55,2)</f>
        <v>-0.01</v>
      </c>
      <c r="I56" s="61" t="n">
        <f aca="false">ROUND(I29-I55,2)</f>
        <v>0.01</v>
      </c>
      <c r="J56" s="61" t="n">
        <f aca="false">ROUND(J29-J55,2)</f>
        <v>-0</v>
      </c>
      <c r="K56" s="61" t="n">
        <f aca="false">ROUND(K29-K55,2)</f>
        <v>-0</v>
      </c>
      <c r="L56" s="61" t="n">
        <f aca="false">ROUND(L29-L55,2)</f>
        <v>0</v>
      </c>
      <c r="M56" s="61" t="n">
        <f aca="false">ROUND(M29-M55,2)</f>
        <v>0</v>
      </c>
      <c r="N56" s="61" t="n">
        <f aca="false">ROUND(N29-N55,2)</f>
        <v>0</v>
      </c>
      <c r="O56" s="61" t="n">
        <f aca="false">ROUND(O29-O55,2)</f>
        <v>0</v>
      </c>
      <c r="P56" s="61" t="n">
        <f aca="false">ROUND(P29-P55,2)</f>
        <v>0</v>
      </c>
      <c r="Q56" s="61" t="n">
        <f aca="false">ROUND(Q29-Q55,2)</f>
        <v>0</v>
      </c>
      <c r="R56" s="61" t="n">
        <f aca="false">ROUND(R29-R55,2)</f>
        <v>0</v>
      </c>
      <c r="S56" s="61" t="n">
        <f aca="false">ROUND(S29-S55,2)</f>
        <v>0</v>
      </c>
      <c r="T56" s="61" t="n">
        <f aca="false">ROUND(T29-T55,2)</f>
        <v>0</v>
      </c>
      <c r="U56" s="61" t="n">
        <f aca="false">ROUND(U29-U55,2)</f>
        <v>0</v>
      </c>
      <c r="V56" s="61" t="n">
        <f aca="false">ROUND(V29-V55,2)</f>
        <v>0</v>
      </c>
      <c r="W56" s="61" t="n">
        <f aca="false">ROUND(W29-W55,2)</f>
        <v>0</v>
      </c>
      <c r="X56" s="61" t="n">
        <f aca="false">ROUND(X29-X55,2)</f>
        <v>0</v>
      </c>
      <c r="Y56" s="61" t="n">
        <f aca="false">ROUND(Y29-Y55,2)</f>
        <v>0</v>
      </c>
      <c r="Z56" s="61" t="n">
        <f aca="false">ROUND(Z29-Z55,2)</f>
        <v>0</v>
      </c>
      <c r="AA56" s="61" t="n">
        <f aca="false">ROUND(AA29-AA55,2)</f>
        <v>0</v>
      </c>
      <c r="AB56" s="61" t="n">
        <f aca="false">ROUND(AB29-AB55,2)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9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14"/>
    <col collapsed="false" customWidth="true" hidden="false" outlineLevel="0" max="5" min="5" style="0" width="11"/>
    <col collapsed="false" customWidth="true" hidden="false" outlineLevel="0" max="8" min="6" style="0" width="14"/>
    <col collapsed="false" customWidth="true" hidden="false" outlineLevel="0" max="9" min="9" style="0" width="11"/>
    <col collapsed="false" customWidth="true" hidden="false" outlineLevel="0" max="10" min="10" style="0" width="70"/>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560</v>
      </c>
    </row>
    <row r="3" customFormat="false" ht="15" hidden="false" customHeight="false" outlineLevel="0" collapsed="false">
      <c r="A3" s="24" t="s">
        <v>561</v>
      </c>
    </row>
    <row r="5" customFormat="false" ht="15" hidden="false" customHeight="false" outlineLevel="0" collapsed="false">
      <c r="A5" s="25" t="s">
        <v>345</v>
      </c>
      <c r="B5" s="26" t="s">
        <v>562</v>
      </c>
      <c r="C5" s="26" t="s">
        <v>563</v>
      </c>
      <c r="D5" s="26" t="s">
        <v>564</v>
      </c>
      <c r="E5" s="26" t="s">
        <v>565</v>
      </c>
      <c r="F5" s="26" t="s">
        <v>566</v>
      </c>
      <c r="G5" s="26" t="s">
        <v>567</v>
      </c>
      <c r="H5" s="26" t="s">
        <v>564</v>
      </c>
      <c r="I5" s="26" t="s">
        <v>565</v>
      </c>
      <c r="J5" s="26" t="s">
        <v>568</v>
      </c>
    </row>
    <row r="6" customFormat="false" ht="15" hidden="false" customHeight="false" outlineLevel="0" collapsed="false">
      <c r="A6" s="21" t="s">
        <v>398</v>
      </c>
      <c r="B6" s="22"/>
      <c r="C6" s="22"/>
      <c r="D6" s="22"/>
      <c r="E6" s="22"/>
      <c r="F6" s="22"/>
      <c r="G6" s="22"/>
      <c r="H6" s="22"/>
      <c r="I6" s="22"/>
      <c r="J6" s="22"/>
    </row>
    <row r="7" customFormat="false" ht="22.35" hidden="false" customHeight="false" outlineLevel="0" collapsed="false">
      <c r="A7" s="27" t="s">
        <v>401</v>
      </c>
      <c r="B7" s="67" t="n">
        <f aca="false">SUMIFS(PL!$E$9:$AB$9,Assumptions!$E$202:$AB$202,"A")</f>
        <v>1835015.91</v>
      </c>
      <c r="C7" s="67" t="n">
        <f aca="false">SUMIFS(Budget_FY26!$E$12:$P$12,Assumptions!$E$201:$P$201,"&lt;="&amp;Assumptions!$C$10)</f>
        <v>1876478.93</v>
      </c>
      <c r="D7" s="76" t="n">
        <f aca="false">B7-C7</f>
        <v>-41463.02</v>
      </c>
      <c r="E7" s="79" t="n">
        <f aca="false">IF(C7=0,0,D7/ABS(C7))</f>
        <v>-0.0220961820232109</v>
      </c>
      <c r="F7" s="67" t="n">
        <f aca="false">PL!$C$9</f>
        <v>2813869.84065143</v>
      </c>
      <c r="G7" s="67" t="n">
        <f aca="false">Budget_FY26!$C$12</f>
        <v>2893810.65</v>
      </c>
      <c r="H7" s="76" t="n">
        <f aca="false">F7-G7</f>
        <v>-79940.8093485707</v>
      </c>
      <c r="I7" s="79" t="n">
        <f aca="false">IF(G7=0,0,H7/ABS(G7))</f>
        <v>-0.0276247546979519</v>
      </c>
      <c r="J7" s="47" t="str">
        <f aca="false">"Traslovia Transportes lost at its April renewal; three new contracts from March against four budgeted."</f>
        <v>Traslovia Transportes lost at its April renewal; three new contracts from March against four budgeted.</v>
      </c>
    </row>
    <row r="8" customFormat="false" ht="15" hidden="false" customHeight="false" outlineLevel="0" collapsed="false">
      <c r="A8" s="27" t="s">
        <v>402</v>
      </c>
      <c r="B8" s="67" t="n">
        <f aca="false">SUMIFS(PL!$E$10:$AB$10,Assumptions!$E$202:$AB$202,"A")</f>
        <v>-37653.01</v>
      </c>
      <c r="C8" s="67" t="n">
        <f aca="false">SUMIFS(Budget_FY26!$E$13:$P$13,Assumptions!$E$201:$P$201,"&lt;="&amp;Assumptions!$C$10)</f>
        <v>-7505.91</v>
      </c>
      <c r="D8" s="76" t="n">
        <f aca="false">B8-C8</f>
        <v>-30147.1</v>
      </c>
      <c r="E8" s="79" t="n">
        <f aca="false">IF(C8=0,0,D8/ABS(C8))</f>
        <v>-4.01644837201618</v>
      </c>
      <c r="F8" s="67" t="n">
        <f aca="false">PL!$C$10</f>
        <v>-56251.0392045859</v>
      </c>
      <c r="G8" s="67" t="n">
        <f aca="false">Budget_FY26!$C$13</f>
        <v>-11575.24</v>
      </c>
      <c r="H8" s="76" t="n">
        <f aca="false">F8-G8</f>
        <v>-44675.7992045859</v>
      </c>
      <c r="I8" s="79" t="n">
        <f aca="false">IF(G8=0,0,H8/ABS(G8))</f>
        <v>-3.85960025058538</v>
      </c>
      <c r="J8" s="47" t="str">
        <f aca="false">"Desk short of staff after four leavers; utilisation "&amp;TEXT((Service_Desk!$K$25),"0%")&amp;" in July."</f>
        <v>Desk short of staff after four leavers; utilisation 98% in July.</v>
      </c>
    </row>
    <row r="9" customFormat="false" ht="15" hidden="false" customHeight="false" outlineLevel="0" collapsed="false">
      <c r="A9" s="27" t="s">
        <v>403</v>
      </c>
      <c r="B9" s="67" t="n">
        <f aca="false">SUMIFS(PL!$E$11:$AB$11,Assumptions!$E$202:$AB$202,"A")</f>
        <v>3550</v>
      </c>
      <c r="C9" s="67" t="n">
        <f aca="false">SUMIFS(Budget_FY26!$E$14:$P$14,Assumptions!$E$201:$P$201,"&lt;="&amp;Assumptions!$C$10)</f>
        <v>3700</v>
      </c>
      <c r="D9" s="76" t="n">
        <f aca="false">B9-C9</f>
        <v>-150</v>
      </c>
      <c r="E9" s="79" t="n">
        <f aca="false">IF(C9=0,0,D9/ABS(C9))</f>
        <v>-0.0405405405405405</v>
      </c>
      <c r="F9" s="67" t="n">
        <f aca="false">PL!$C$11</f>
        <v>6655</v>
      </c>
      <c r="G9" s="67" t="n">
        <f aca="false">Budget_FY26!$C$14</f>
        <v>6675</v>
      </c>
      <c r="H9" s="76" t="n">
        <f aca="false">F9-G9</f>
        <v>-20</v>
      </c>
      <c r="I9" s="79" t="n">
        <f aca="false">IF(G9=0,0,H9/ABS(G9))</f>
        <v>-0.00299625468164794</v>
      </c>
    </row>
    <row r="10" customFormat="false" ht="15" hidden="false" customHeight="false" outlineLevel="0" collapsed="false">
      <c r="A10" s="27" t="s">
        <v>404</v>
      </c>
      <c r="B10" s="67" t="n">
        <f aca="false">SUMIFS(PL!$E$12:$AB$12,Assumptions!$E$202:$AB$202,"A")</f>
        <v>538291.89</v>
      </c>
      <c r="C10" s="67" t="n">
        <f aca="false">SUMIFS(Budget_FY26!$E$15:$P$15,Assumptions!$E$201:$P$201,"&lt;="&amp;Assumptions!$C$10)</f>
        <v>550086.25</v>
      </c>
      <c r="D10" s="76" t="n">
        <f aca="false">B10-C10</f>
        <v>-11794.36</v>
      </c>
      <c r="E10" s="79" t="n">
        <f aca="false">IF(C10=0,0,D10/ABS(C10))</f>
        <v>-0.0214409285816542</v>
      </c>
      <c r="F10" s="67" t="n">
        <f aca="false">PL!$C$12</f>
        <v>822656.618564107</v>
      </c>
      <c r="G10" s="67" t="n">
        <f aca="false">Budget_FY26!$C$15</f>
        <v>844203.58</v>
      </c>
      <c r="H10" s="76" t="n">
        <f aca="false">F10-G10</f>
        <v>-21546.9614358927</v>
      </c>
      <c r="I10" s="79" t="n">
        <f aca="false">IF(G10=0,0,H10/ABS(G10))</f>
        <v>-0.0255234186946859</v>
      </c>
    </row>
    <row r="11" customFormat="false" ht="15" hidden="false" customHeight="false" outlineLevel="0" collapsed="false">
      <c r="A11" s="27" t="s">
        <v>405</v>
      </c>
      <c r="B11" s="67" t="n">
        <f aca="false">SUMIFS(PL!$E$13:$AB$13,Assumptions!$E$202:$AB$202,"A")</f>
        <v>271275</v>
      </c>
      <c r="C11" s="67" t="n">
        <f aca="false">SUMIFS(Budget_FY26!$E$16:$P$16,Assumptions!$E$201:$P$201,"&lt;="&amp;Assumptions!$C$10)</f>
        <v>267825</v>
      </c>
      <c r="D11" s="76" t="n">
        <f aca="false">B11-C11</f>
        <v>3450</v>
      </c>
      <c r="E11" s="79" t="n">
        <f aca="false">IF(C11=0,0,D11/ABS(C11))</f>
        <v>0.0128815457854943</v>
      </c>
      <c r="F11" s="67" t="n">
        <f aca="false">PL!$C$13</f>
        <v>408415</v>
      </c>
      <c r="G11" s="67" t="n">
        <f aca="false">Budget_FY26!$C$16</f>
        <v>403149.99</v>
      </c>
      <c r="H11" s="76" t="n">
        <f aca="false">F11-G11</f>
        <v>5265.01000000001</v>
      </c>
      <c r="I11" s="79" t="n">
        <f aca="false">IF(G11=0,0,H11/ABS(G11))</f>
        <v>0.0130596803437847</v>
      </c>
    </row>
    <row r="12" customFormat="false" ht="15" hidden="false" customHeight="false" outlineLevel="0" collapsed="false">
      <c r="A12" s="27" t="s">
        <v>406</v>
      </c>
      <c r="B12" s="67" t="n">
        <f aca="false">SUMIFS(PL!$E$14:$AB$14,Assumptions!$E$202:$AB$202,"A")</f>
        <v>61998.9</v>
      </c>
      <c r="C12" s="67" t="n">
        <f aca="false">SUMIFS(Budget_FY26!$E$17:$P$17,Assumptions!$E$201:$P$201,"&lt;="&amp;Assumptions!$C$10)</f>
        <v>64829.9</v>
      </c>
      <c r="D12" s="76" t="n">
        <f aca="false">B12-C12</f>
        <v>-2831.00000000001</v>
      </c>
      <c r="E12" s="79" t="n">
        <f aca="false">IF(C12=0,0,D12/ABS(C12))</f>
        <v>-0.0436681222707425</v>
      </c>
      <c r="F12" s="67" t="n">
        <f aca="false">PL!$C$14</f>
        <v>100390.79875</v>
      </c>
      <c r="G12" s="67" t="n">
        <f aca="false">Budget_FY26!$C$17</f>
        <v>108993.5</v>
      </c>
      <c r="H12" s="76" t="n">
        <f aca="false">F12-G12</f>
        <v>-8602.70125</v>
      </c>
      <c r="I12" s="79" t="n">
        <f aca="false">IF(G12=0,0,H12/ABS(G12))</f>
        <v>-0.0789285714285714</v>
      </c>
    </row>
    <row r="13" customFormat="false" ht="15" hidden="false" customHeight="false" outlineLevel="0" collapsed="false">
      <c r="A13" s="27" t="s">
        <v>407</v>
      </c>
      <c r="B13" s="67" t="n">
        <f aca="false">SUMIFS(PL!$E$15:$AB$15,Assumptions!$E$202:$AB$202,"A")</f>
        <v>1575000</v>
      </c>
      <c r="C13" s="67" t="n">
        <f aca="false">SUMIFS(Budget_FY26!$E$18:$P$18,Assumptions!$E$201:$P$201,"&lt;="&amp;Assumptions!$C$10)</f>
        <v>1708135.41</v>
      </c>
      <c r="D13" s="76" t="n">
        <f aca="false">B13-C13</f>
        <v>-133135.41</v>
      </c>
      <c r="E13" s="79" t="n">
        <f aca="false">IF(C13=0,0,D13/ABS(C13))</f>
        <v>-0.0779419530914121</v>
      </c>
      <c r="F13" s="67" t="n">
        <f aca="false">PL!$C$15</f>
        <v>2513080</v>
      </c>
      <c r="G13" s="67" t="n">
        <f aca="false">Budget_FY26!$C$18</f>
        <v>2750000.02</v>
      </c>
      <c r="H13" s="76" t="n">
        <f aca="false">F13-G13</f>
        <v>-236920.02</v>
      </c>
      <c r="I13" s="79" t="n">
        <f aca="false">IF(G13=0,0,H13/ABS(G13))</f>
        <v>-0.0861527339188892</v>
      </c>
      <c r="J13" s="47" t="str">
        <f aca="false">"No refresh cycle this year; demand below the 2025 base."</f>
        <v>No refresh cycle this year; demand below the 2025 base.</v>
      </c>
    </row>
    <row r="14" customFormat="false" ht="15" hidden="false" customHeight="false" outlineLevel="0" collapsed="false">
      <c r="A14" s="27" t="s">
        <v>51</v>
      </c>
      <c r="B14" s="67" t="n">
        <f aca="false">SUMIFS(PL!$E$16:$AB$16,Assumptions!$E$202:$AB$202,"A")</f>
        <v>535313.17</v>
      </c>
      <c r="C14" s="67" t="n">
        <f aca="false">SUMIFS(Budget_FY26!$E$19:$P$19,Assumptions!$E$201:$P$201,"&lt;="&amp;Assumptions!$C$10)</f>
        <v>775635.76</v>
      </c>
      <c r="D14" s="76" t="n">
        <f aca="false">B14-C14</f>
        <v>-240322.59</v>
      </c>
      <c r="E14" s="79" t="n">
        <f aca="false">IF(C14=0,0,D14/ABS(C14))</f>
        <v>-0.309839492186384</v>
      </c>
      <c r="F14" s="67" t="n">
        <f aca="false">PL!$C$16</f>
        <v>923294.961904762</v>
      </c>
      <c r="G14" s="67" t="n">
        <f aca="false">Budget_FY26!$C$19</f>
        <v>1220000</v>
      </c>
      <c r="H14" s="76" t="n">
        <f aca="false">F14-G14</f>
        <v>-296705.038095238</v>
      </c>
      <c r="I14" s="79" t="n">
        <f aca="false">IF(G14=0,0,H14/ABS(G14))</f>
        <v>-0.243200850897736</v>
      </c>
      <c r="J14" s="47" t="str">
        <f aca="false">"J01 catch-up in June and a slower pipeline."</f>
        <v>J01 catch-up in June and a slower pipeline.</v>
      </c>
    </row>
    <row r="15" customFormat="false" ht="15" hidden="false" customHeight="false" outlineLevel="0" collapsed="false">
      <c r="A15" s="80" t="s">
        <v>408</v>
      </c>
      <c r="B15" s="62" t="n">
        <f aca="false">SUMIFS(PL!$E$17:$AB$17,Assumptions!$E$202:$AB$202,"A")</f>
        <v>4782791.86</v>
      </c>
      <c r="C15" s="62" t="n">
        <f aca="false">SUMIFS(Budget_FY26!$E$20:$P$20,Assumptions!$E$201:$P$201,"&lt;="&amp;Assumptions!$C$10)</f>
        <v>5239185.34</v>
      </c>
      <c r="D15" s="61" t="n">
        <f aca="false">B15-C15</f>
        <v>-456393.48</v>
      </c>
      <c r="E15" s="81" t="n">
        <f aca="false">IF(C15=0,0,D15/ABS(C15))</f>
        <v>-0.0871115355502962</v>
      </c>
      <c r="F15" s="62" t="n">
        <f aca="false">PL!$C$17</f>
        <v>7532111.18066571</v>
      </c>
      <c r="G15" s="62" t="n">
        <f aca="false">Budget_FY26!$C$20</f>
        <v>8215257.5</v>
      </c>
      <c r="H15" s="61" t="n">
        <f aca="false">F15-G15</f>
        <v>-683146.319334287</v>
      </c>
      <c r="I15" s="81" t="n">
        <f aca="false">IF(G15=0,0,H15/ABS(G15))</f>
        <v>-0.0831558011826516</v>
      </c>
      <c r="J15" s="82" t="str">
        <f aca="false">"Revenue by cause: see the table below."</f>
        <v>Revenue by cause: see the table below.</v>
      </c>
    </row>
    <row r="16" customFormat="false" ht="15" hidden="false" customHeight="false" outlineLevel="0" collapsed="false">
      <c r="A16" s="27" t="s">
        <v>410</v>
      </c>
      <c r="B16" s="67" t="n">
        <f aca="false">SUMIFS(PL!$E$19:$AB$19,Assumptions!$E$202:$AB$202,"A")</f>
        <v>-1353288.88</v>
      </c>
      <c r="C16" s="67" t="n">
        <f aca="false">SUMIFS(Budget_FY26!$E$22:$P$22,Assumptions!$E$201:$P$201,"&lt;="&amp;Assumptions!$C$10)</f>
        <v>-1443929.55</v>
      </c>
      <c r="D16" s="76" t="n">
        <f aca="false">B16-C16</f>
        <v>90640.6699999999</v>
      </c>
      <c r="E16" s="79" t="n">
        <f aca="false">IF(C16=0,0,D16/ABS(C16))</f>
        <v>0.0627736096958469</v>
      </c>
      <c r="F16" s="67" t="n">
        <f aca="false">PL!$C$19</f>
        <v>-2158611.59054355</v>
      </c>
      <c r="G16" s="67" t="n">
        <f aca="false">Budget_FY26!$C$22</f>
        <v>-2324643.75</v>
      </c>
      <c r="H16" s="76" t="n">
        <f aca="false">F16-G16</f>
        <v>166032.159456451</v>
      </c>
      <c r="I16" s="79" t="n">
        <f aca="false">IF(G16=0,0,H16/ABS(G16))</f>
        <v>0.0714226252760026</v>
      </c>
      <c r="J16" s="47" t="str">
        <f aca="false">"Lower volume; distributor rebate at tier 1 against tier 2 budgeted."</f>
        <v>Lower volume; distributor rebate at tier 1 against tier 2 budgeted.</v>
      </c>
    </row>
    <row r="17" customFormat="false" ht="15" hidden="false" customHeight="false" outlineLevel="0" collapsed="false">
      <c r="A17" s="27" t="s">
        <v>411</v>
      </c>
      <c r="B17" s="67" t="n">
        <f aca="false">SUMIFS(PL!$E$20:$AB$20,Assumptions!$E$202:$AB$202,"A")</f>
        <v>-638635.33</v>
      </c>
      <c r="C17" s="67" t="n">
        <f aca="false">SUMIFS(Budget_FY26!$E$23:$P$23,Assumptions!$E$201:$P$201,"&lt;="&amp;Assumptions!$C$10)</f>
        <v>-646322.41</v>
      </c>
      <c r="D17" s="76" t="n">
        <f aca="false">B17-C17</f>
        <v>7687.08000000007</v>
      </c>
      <c r="E17" s="79" t="n">
        <f aca="false">IF(C17=0,0,D17/ABS(C17))</f>
        <v>0.0118935687221492</v>
      </c>
      <c r="F17" s="67" t="n">
        <f aca="false">PL!$C$20</f>
        <v>-973883.847367526</v>
      </c>
      <c r="G17" s="67" t="n">
        <f aca="false">Budget_FY26!$C$23</f>
        <v>-988157.99</v>
      </c>
      <c r="H17" s="76" t="n">
        <f aca="false">F17-G17</f>
        <v>14274.1426324741</v>
      </c>
      <c r="I17" s="79" t="n">
        <f aca="false">IF(G17=0,0,H17/ABS(G17))</f>
        <v>0.0144452028693044</v>
      </c>
    </row>
    <row r="18" customFormat="false" ht="15" hidden="false" customHeight="false" outlineLevel="0" collapsed="false">
      <c r="A18" s="27" t="s">
        <v>412</v>
      </c>
      <c r="B18" s="67" t="n">
        <f aca="false">SUMIFS(PL!$E$21:$AB$21,Assumptions!$E$202:$AB$202,"A")</f>
        <v>-158368.226887554</v>
      </c>
      <c r="C18" s="67" t="n">
        <f aca="false">SUMIFS(Budget_FY26!$E$24:$P$24,Assumptions!$E$201:$P$201,"&lt;="&amp;Assumptions!$C$10)</f>
        <v>-162936.69</v>
      </c>
      <c r="D18" s="76" t="n">
        <f aca="false">B18-C18</f>
        <v>4568.46311244616</v>
      </c>
      <c r="E18" s="79" t="n">
        <f aca="false">IF(C18=0,0,D18/ABS(C18))</f>
        <v>0.0280382712601205</v>
      </c>
      <c r="F18" s="67" t="n">
        <f aca="false">PL!$C$21</f>
        <v>-242255.627343739</v>
      </c>
      <c r="G18" s="67" t="n">
        <f aca="false">Budget_FY26!$C$24</f>
        <v>-248941.21</v>
      </c>
      <c r="H18" s="76" t="n">
        <f aca="false">F18-G18</f>
        <v>6685.58265626119</v>
      </c>
      <c r="I18" s="79" t="n">
        <f aca="false">IF(G18=0,0,H18/ABS(G18))</f>
        <v>0.0268560703800756</v>
      </c>
    </row>
    <row r="19" customFormat="false" ht="15" hidden="false" customHeight="false" outlineLevel="0" collapsed="false">
      <c r="A19" s="27" t="s">
        <v>413</v>
      </c>
      <c r="B19" s="67" t="n">
        <f aca="false">SUMIFS(PL!$E$22:$AB$22,Assumptions!$E$202:$AB$202,"A")</f>
        <v>-71026.5</v>
      </c>
      <c r="C19" s="67" t="n">
        <f aca="false">SUMIFS(Budget_FY26!$E$25:$P$25,Assumptions!$E$201:$P$201,"&lt;="&amp;Assumptions!$C$10)</f>
        <v>-71217.34</v>
      </c>
      <c r="D19" s="76" t="n">
        <f aca="false">B19-C19</f>
        <v>190.839999999997</v>
      </c>
      <c r="E19" s="79" t="n">
        <f aca="false">IF(C19=0,0,D19/ABS(C19))</f>
        <v>0.00267968447010232</v>
      </c>
      <c r="F19" s="67" t="n">
        <f aca="false">PL!$C$22</f>
        <v>-106759.785805927</v>
      </c>
      <c r="G19" s="67" t="n">
        <f aca="false">Budget_FY26!$C$25</f>
        <v>-107123.16</v>
      </c>
      <c r="H19" s="76" t="n">
        <f aca="false">F19-G19</f>
        <v>363.3741940732</v>
      </c>
      <c r="I19" s="79" t="n">
        <f aca="false">IF(G19=0,0,H19/ABS(G19))</f>
        <v>0.00339211608463753</v>
      </c>
    </row>
    <row r="20" customFormat="false" ht="15" hidden="false" customHeight="false" outlineLevel="0" collapsed="false">
      <c r="A20" s="27" t="s">
        <v>414</v>
      </c>
      <c r="B20" s="67" t="n">
        <f aca="false">SUMIFS(PL!$E$23:$AB$23,Assumptions!$E$202:$AB$202,"A")</f>
        <v>-41767.47</v>
      </c>
      <c r="C20" s="67" t="n">
        <f aca="false">SUMIFS(Budget_FY26!$E$26:$P$26,Assumptions!$E$201:$P$201,"&lt;="&amp;Assumptions!$C$10)</f>
        <v>-44240</v>
      </c>
      <c r="D20" s="76" t="n">
        <f aca="false">B20-C20</f>
        <v>2472.53</v>
      </c>
      <c r="E20" s="79" t="n">
        <f aca="false">IF(C20=0,0,D20/ABS(C20))</f>
        <v>0.0558890144665461</v>
      </c>
      <c r="F20" s="67" t="n">
        <f aca="false">PL!$C$23</f>
        <v>-63505.4937864255</v>
      </c>
      <c r="G20" s="67" t="n">
        <f aca="false">Budget_FY26!$C$26</f>
        <v>-66360</v>
      </c>
      <c r="H20" s="76" t="n">
        <f aca="false">F20-G20</f>
        <v>2854.50621357454</v>
      </c>
      <c r="I20" s="79" t="n">
        <f aca="false">IF(G20=0,0,H20/ABS(G20))</f>
        <v>0.0430154643395802</v>
      </c>
    </row>
    <row r="21" customFormat="false" ht="15" hidden="false" customHeight="false" outlineLevel="0" collapsed="false">
      <c r="A21" s="27" t="s">
        <v>415</v>
      </c>
      <c r="B21" s="67" t="n">
        <f aca="false">SUMIFS(PL!$E$24:$AB$24,Assumptions!$E$202:$AB$202,"A")</f>
        <v>-92360</v>
      </c>
      <c r="C21" s="67" t="n">
        <f aca="false">SUMIFS(Budget_FY26!$E$27:$P$27,Assumptions!$E$201:$P$201,"&lt;="&amp;Assumptions!$C$10)</f>
        <v>-24300</v>
      </c>
      <c r="D21" s="76" t="n">
        <f aca="false">B21-C21</f>
        <v>-68060</v>
      </c>
      <c r="E21" s="79" t="n">
        <f aca="false">IF(C21=0,0,D21/ABS(C21))</f>
        <v>-2.80082304526749</v>
      </c>
      <c r="F21" s="67" t="n">
        <f aca="false">PL!$C$24</f>
        <v>-148995.333053221</v>
      </c>
      <c r="G21" s="67" t="n">
        <f aca="false">Budget_FY26!$C$27</f>
        <v>-30300</v>
      </c>
      <c r="H21" s="76" t="n">
        <f aca="false">F21-G21</f>
        <v>-118695.333053221</v>
      </c>
      <c r="I21" s="79" t="n">
        <f aca="false">IF(G21=0,0,H21/ABS(G21))</f>
        <v>-3.91733772452876</v>
      </c>
      <c r="J21" s="47" t="str">
        <f aca="false">"J01 data migration specialist subcontractor."</f>
        <v>J01 data migration specialist subcontractor.</v>
      </c>
    </row>
    <row r="22" customFormat="false" ht="15" hidden="false" customHeight="false" outlineLevel="0" collapsed="false">
      <c r="A22" s="27" t="s">
        <v>416</v>
      </c>
      <c r="B22" s="67" t="n">
        <f aca="false">SUMIFS(PL!$E$25:$AB$25,Assumptions!$E$202:$AB$202,"A")</f>
        <v>-2507.14</v>
      </c>
      <c r="C22" s="67" t="n">
        <f aca="false">SUMIFS(Budget_FY26!$E$28:$P$28,Assumptions!$E$201:$P$201,"&lt;="&amp;Assumptions!$C$10)</f>
        <v>0</v>
      </c>
      <c r="D22" s="76" t="n">
        <f aca="false">B22-C22</f>
        <v>-2507.14</v>
      </c>
      <c r="E22" s="79" t="n">
        <f aca="false">IF(C22=0,0,D22/ABS(C22))</f>
        <v>0</v>
      </c>
      <c r="F22" s="67" t="n">
        <f aca="false">PL!$C$25</f>
        <v>0</v>
      </c>
      <c r="G22" s="67" t="n">
        <f aca="false">Budget_FY26!$C$28</f>
        <v>0</v>
      </c>
      <c r="H22" s="76" t="n">
        <f aca="false">F22-G22</f>
        <v>0</v>
      </c>
      <c r="I22" s="79" t="n">
        <f aca="false">IF(G22=0,0,H22/ABS(G22))</f>
        <v>0</v>
      </c>
      <c r="J22" s="47" t="str">
        <f aca="false">"J01 onerous contract provision (IAS 37)."</f>
        <v>J01 onerous contract provision (IAS 37).</v>
      </c>
    </row>
    <row r="23" customFormat="false" ht="15" hidden="false" customHeight="false" outlineLevel="0" collapsed="false">
      <c r="A23" s="27" t="s">
        <v>417</v>
      </c>
      <c r="B23" s="67" t="n">
        <f aca="false">SUMIFS(PL!$E$26:$AB$26,Assumptions!$E$202:$AB$202,"A")</f>
        <v>-806140.535</v>
      </c>
      <c r="C23" s="67" t="n">
        <f aca="false">SUMIFS(Budget_FY26!$E$29:$P$29,Assumptions!$E$201:$P$201,"&lt;="&amp;Assumptions!$C$10)</f>
        <v>-888419</v>
      </c>
      <c r="D23" s="76" t="n">
        <f aca="false">B23-C23</f>
        <v>82278.465</v>
      </c>
      <c r="E23" s="79" t="n">
        <f aca="false">IF(C23=0,0,D23/ABS(C23))</f>
        <v>0.0926122302652239</v>
      </c>
      <c r="F23" s="67" t="n">
        <f aca="false">PL!$C$26</f>
        <v>-1239115.29347238</v>
      </c>
      <c r="G23" s="67" t="n">
        <f aca="false">Budget_FY26!$C$29</f>
        <v>-1363624.62</v>
      </c>
      <c r="H23" s="76" t="n">
        <f aca="false">F23-G23</f>
        <v>124509.326527617</v>
      </c>
      <c r="I23" s="79" t="n">
        <f aca="false">IF(G23=0,0,H23/ABS(G23))</f>
        <v>0.0913076257948594</v>
      </c>
      <c r="J23" s="47" t="str">
        <f aca="false">"Four leavers, two replaced; budgeted desk hires not made."</f>
        <v>Four leavers, two replaced; budgeted desk hires not made.</v>
      </c>
    </row>
    <row r="24" customFormat="false" ht="15" hidden="false" customHeight="false" outlineLevel="0" collapsed="false">
      <c r="A24" s="27" t="s">
        <v>418</v>
      </c>
      <c r="B24" s="67" t="n">
        <f aca="false">SUMIFS(PL!$E$27:$AB$27,Assumptions!$E$202:$AB$202,"A")</f>
        <v>-358370.89125</v>
      </c>
      <c r="C24" s="67" t="n">
        <f aca="false">SUMIFS(Budget_FY26!$E$30:$P$30,Assumptions!$E$201:$P$201,"&lt;="&amp;Assumptions!$C$10)</f>
        <v>-358370.85</v>
      </c>
      <c r="D24" s="76" t="n">
        <f aca="false">B24-C24</f>
        <v>-0.0412500000093132</v>
      </c>
      <c r="E24" s="79" t="n">
        <f aca="false">IF(C24=0,0,D24/ABS(C24))</f>
        <v>-1.15104227950776E-007</v>
      </c>
      <c r="F24" s="67" t="n">
        <f aca="false">PL!$C$27</f>
        <v>-543010.165247759</v>
      </c>
      <c r="G24" s="67" t="n">
        <f aca="false">Budget_FY26!$C$30</f>
        <v>-543603.71</v>
      </c>
      <c r="H24" s="76" t="n">
        <f aca="false">F24-G24</f>
        <v>593.544752240763</v>
      </c>
      <c r="I24" s="79" t="n">
        <f aca="false">IF(G24=0,0,H24/ABS(G24))</f>
        <v>0.0010918703116297</v>
      </c>
    </row>
    <row r="25" customFormat="false" ht="15" hidden="false" customHeight="false" outlineLevel="0" collapsed="false">
      <c r="A25" s="80" t="s">
        <v>419</v>
      </c>
      <c r="B25" s="62" t="n">
        <f aca="false">SUMIFS(PL!$E$28:$AB$28,Assumptions!$E$202:$AB$202,"A")</f>
        <v>-3522464.97313755</v>
      </c>
      <c r="C25" s="62" t="n">
        <f aca="false">SUMIFS(Budget_FY26!$E$31:$P$31,Assumptions!$E$201:$P$201,"&lt;="&amp;Assumptions!$C$10)</f>
        <v>-3639735.84</v>
      </c>
      <c r="D25" s="61" t="n">
        <f aca="false">B25-C25</f>
        <v>117270.866862446</v>
      </c>
      <c r="E25" s="81" t="n">
        <f aca="false">IF(C25=0,0,D25/ABS(C25))</f>
        <v>0.0322196093391344</v>
      </c>
      <c r="F25" s="62" t="n">
        <f aca="false">PL!$C$28</f>
        <v>-5476137.13662053</v>
      </c>
      <c r="G25" s="62" t="n">
        <f aca="false">Budget_FY26!$C$31</f>
        <v>-5672754.44</v>
      </c>
      <c r="H25" s="61" t="n">
        <f aca="false">F25-G25</f>
        <v>196617.30337947</v>
      </c>
      <c r="I25" s="81" t="n">
        <f aca="false">IF(G25=0,0,H25/ABS(G25))</f>
        <v>0.0346599355672922</v>
      </c>
      <c r="J25" s="83"/>
    </row>
    <row r="26" customFormat="false" ht="15" hidden="false" customHeight="false" outlineLevel="0" collapsed="false">
      <c r="A26" s="80" t="s">
        <v>420</v>
      </c>
      <c r="B26" s="62" t="n">
        <f aca="false">SUMIFS(PL!$E$29:$AB$29,Assumptions!$E$202:$AB$202,"A")</f>
        <v>1260326.88686245</v>
      </c>
      <c r="C26" s="62" t="n">
        <f aca="false">SUMIFS(Budget_FY26!$E$32:$P$32,Assumptions!$E$201:$P$201,"&lt;="&amp;Assumptions!$C$10)</f>
        <v>1599449.5</v>
      </c>
      <c r="D26" s="61" t="n">
        <f aca="false">B26-C26</f>
        <v>-339122.613137554</v>
      </c>
      <c r="E26" s="81" t="n">
        <f aca="false">IF(C26=0,0,D26/ABS(C26))</f>
        <v>-0.212024582919032</v>
      </c>
      <c r="F26" s="62" t="n">
        <f aca="false">PL!$C$29</f>
        <v>2055974.04404518</v>
      </c>
      <c r="G26" s="62" t="n">
        <f aca="false">Budget_FY26!$C$32</f>
        <v>2542503.06</v>
      </c>
      <c r="H26" s="61" t="n">
        <f aca="false">F26-G26</f>
        <v>-486529.015954817</v>
      </c>
      <c r="I26" s="81" t="n">
        <f aca="false">IF(G26=0,0,H26/ABS(G26))</f>
        <v>-0.191358281375999</v>
      </c>
      <c r="J26" s="83"/>
    </row>
    <row r="27" customFormat="false" ht="15" hidden="false" customHeight="false" outlineLevel="0" collapsed="false">
      <c r="A27" s="80" t="s">
        <v>376</v>
      </c>
      <c r="B27" s="81" t="n">
        <f aca="false">IF(B15=0,0,B26/B15)</f>
        <v>0.263512802512474</v>
      </c>
      <c r="C27" s="81" t="n">
        <f aca="false">IF(C15=0,0,C26/C15)</f>
        <v>0.305285916836834</v>
      </c>
      <c r="D27" s="81" t="n">
        <f aca="false">B27-C27</f>
        <v>-0.0417731143243605</v>
      </c>
      <c r="E27" s="83"/>
      <c r="F27" s="81" t="n">
        <f aca="false">IF(F15=0,0,F26/F15)</f>
        <v>0.272961191720416</v>
      </c>
      <c r="G27" s="81" t="n">
        <f aca="false">IF(G15=0,0,G26/G15)</f>
        <v>0.309485498172151</v>
      </c>
      <c r="H27" s="81" t="n">
        <f aca="false">F27-G27</f>
        <v>-0.036524306451735</v>
      </c>
      <c r="I27" s="83"/>
      <c r="J27" s="83"/>
    </row>
    <row r="28" customFormat="false" ht="15" hidden="false" customHeight="false" outlineLevel="0" collapsed="false">
      <c r="A28" s="27" t="s">
        <v>424</v>
      </c>
      <c r="B28" s="67" t="n">
        <f aca="false">SUMIFS(PL!$E$32:$AB$32,Assumptions!$E$202:$AB$202,"A")</f>
        <v>-199641.200125</v>
      </c>
      <c r="C28" s="67" t="n">
        <f aca="false">SUMIFS(Budget_FY26!$E$34:$P$34,Assumptions!$E$201:$P$201,"&lt;="&amp;Assumptions!$C$10)</f>
        <v>-200796.12</v>
      </c>
      <c r="D28" s="76" t="n">
        <f aca="false">B28-C28</f>
        <v>1154.91987499999</v>
      </c>
      <c r="E28" s="79" t="n">
        <f aca="false">IF(C28=0,0,D28/ABS(C28))</f>
        <v>0.00575170414149433</v>
      </c>
      <c r="F28" s="67" t="n">
        <f aca="false">PL!$C$32</f>
        <v>-306227.995260875</v>
      </c>
      <c r="G28" s="67" t="n">
        <f aca="false">Budget_FY26!$C$34</f>
        <v>-309144.78</v>
      </c>
      <c r="H28" s="76" t="n">
        <f aca="false">F28-G28</f>
        <v>2916.78473912471</v>
      </c>
      <c r="I28" s="79" t="n">
        <f aca="false">IF(G28=0,0,H28/ABS(G28))</f>
        <v>0.00943501209732445</v>
      </c>
    </row>
    <row r="29" customFormat="false" ht="15" hidden="false" customHeight="false" outlineLevel="0" collapsed="false">
      <c r="A29" s="27" t="s">
        <v>425</v>
      </c>
      <c r="B29" s="67" t="n">
        <f aca="false">SUMIFS(PL!$E$33:$AB$33,Assumptions!$E$202:$AB$202,"A")</f>
        <v>-263561.5525</v>
      </c>
      <c r="C29" s="67" t="n">
        <f aca="false">SUMIFS(Budget_FY26!$E$35:$P$35,Assumptions!$E$201:$P$201,"&lt;="&amp;Assumptions!$C$10)</f>
        <v>-263561.5</v>
      </c>
      <c r="D29" s="76" t="n">
        <f aca="false">B29-C29</f>
        <v>-0.0525000000488944</v>
      </c>
      <c r="E29" s="79" t="n">
        <f aca="false">IF(C29=0,0,D29/ABS(C29))</f>
        <v>-1.99194495587916E-007</v>
      </c>
      <c r="F29" s="67" t="n">
        <f aca="false">PL!$C$33</f>
        <v>-398839.389237029</v>
      </c>
      <c r="G29" s="67" t="n">
        <f aca="false">Budget_FY26!$C$35</f>
        <v>-398479.93</v>
      </c>
      <c r="H29" s="76" t="n">
        <f aca="false">F29-G29</f>
        <v>-359.459237029194</v>
      </c>
      <c r="I29" s="79" t="n">
        <f aca="false">IF(G29=0,0,H29/ABS(G29))</f>
        <v>-0.000902076139767425</v>
      </c>
    </row>
    <row r="30" customFormat="false" ht="15" hidden="false" customHeight="false" outlineLevel="0" collapsed="false">
      <c r="A30" s="27" t="s">
        <v>426</v>
      </c>
      <c r="B30" s="67" t="n">
        <f aca="false">SUMIFS(PL!$E$34:$AB$34,Assumptions!$E$202:$AB$202,"A")</f>
        <v>-84000</v>
      </c>
      <c r="C30" s="67" t="n">
        <f aca="false">SUMIFS(Budget_FY26!$E$36:$P$36,Assumptions!$E$201:$P$201,"&lt;="&amp;Assumptions!$C$10)</f>
        <v>-84000</v>
      </c>
      <c r="D30" s="76" t="n">
        <f aca="false">B30-C30</f>
        <v>0</v>
      </c>
      <c r="E30" s="79" t="n">
        <f aca="false">IF(C30=0,0,D30/ABS(C30))</f>
        <v>0</v>
      </c>
      <c r="F30" s="67" t="n">
        <f aca="false">PL!$C$34</f>
        <v>-126000</v>
      </c>
      <c r="G30" s="67" t="n">
        <f aca="false">Budget_FY26!$C$36</f>
        <v>-126000</v>
      </c>
      <c r="H30" s="76" t="n">
        <f aca="false">F30-G30</f>
        <v>0</v>
      </c>
      <c r="I30" s="79" t="n">
        <f aca="false">IF(G30=0,0,H30/ABS(G30))</f>
        <v>0</v>
      </c>
    </row>
    <row r="31" customFormat="false" ht="15" hidden="false" customHeight="false" outlineLevel="0" collapsed="false">
      <c r="A31" s="27" t="s">
        <v>427</v>
      </c>
      <c r="B31" s="67" t="n">
        <f aca="false">SUMIFS(PL!$E$35:$AB$35,Assumptions!$E$202:$AB$202,"A")</f>
        <v>-41074.99</v>
      </c>
      <c r="C31" s="67" t="n">
        <f aca="false">SUMIFS(Budget_FY26!$E$37:$P$37,Assumptions!$E$201:$P$201,"&lt;="&amp;Assumptions!$C$10)</f>
        <v>-40752</v>
      </c>
      <c r="D31" s="76" t="n">
        <f aca="false">B31-C31</f>
        <v>-322.989999999998</v>
      </c>
      <c r="E31" s="79" t="n">
        <f aca="false">IF(C31=0,0,D31/ABS(C31))</f>
        <v>-0.00792574597565759</v>
      </c>
      <c r="F31" s="67" t="n">
        <f aca="false">PL!$C$35</f>
        <v>-57778.99</v>
      </c>
      <c r="G31" s="67" t="n">
        <f aca="false">Budget_FY26!$C$37</f>
        <v>-57456</v>
      </c>
      <c r="H31" s="76" t="n">
        <f aca="false">F31-G31</f>
        <v>-322.989999999998</v>
      </c>
      <c r="I31" s="79" t="n">
        <f aca="false">IF(G31=0,0,H31/ABS(G31))</f>
        <v>-0.00562151907546641</v>
      </c>
    </row>
    <row r="32" customFormat="false" ht="15" hidden="false" customHeight="false" outlineLevel="0" collapsed="false">
      <c r="A32" s="27" t="s">
        <v>428</v>
      </c>
      <c r="B32" s="67" t="n">
        <f aca="false">SUMIFS(PL!$E$36:$AB$36,Assumptions!$E$202:$AB$202,"A")</f>
        <v>-15200</v>
      </c>
      <c r="C32" s="67" t="n">
        <f aca="false">SUMIFS(Budget_FY26!$E$38:$P$38,Assumptions!$E$201:$P$201,"&lt;="&amp;Assumptions!$C$10)</f>
        <v>-15200</v>
      </c>
      <c r="D32" s="76" t="n">
        <f aca="false">B32-C32</f>
        <v>0</v>
      </c>
      <c r="E32" s="79" t="n">
        <f aca="false">IF(C32=0,0,D32/ABS(C32))</f>
        <v>0</v>
      </c>
      <c r="F32" s="67" t="n">
        <f aca="false">PL!$C$36</f>
        <v>-22800</v>
      </c>
      <c r="G32" s="67" t="n">
        <f aca="false">Budget_FY26!$C$38</f>
        <v>-22800</v>
      </c>
      <c r="H32" s="76" t="n">
        <f aca="false">F32-G32</f>
        <v>0</v>
      </c>
      <c r="I32" s="79" t="n">
        <f aca="false">IF(G32=0,0,H32/ABS(G32))</f>
        <v>0</v>
      </c>
    </row>
    <row r="33" customFormat="false" ht="15" hidden="false" customHeight="false" outlineLevel="0" collapsed="false">
      <c r="A33" s="27" t="s">
        <v>429</v>
      </c>
      <c r="B33" s="67" t="n">
        <f aca="false">SUMIFS(PL!$E$37:$AB$37,Assumptions!$E$202:$AB$202,"A")</f>
        <v>-51333.87</v>
      </c>
      <c r="C33" s="67" t="n">
        <f aca="false">SUMIFS(Budget_FY26!$E$39:$P$39,Assumptions!$E$201:$P$201,"&lt;="&amp;Assumptions!$C$10)</f>
        <v>-51220</v>
      </c>
      <c r="D33" s="76" t="n">
        <f aca="false">B33-C33</f>
        <v>-113.870000000003</v>
      </c>
      <c r="E33" s="79" t="n">
        <f aca="false">IF(C33=0,0,D33/ABS(C33))</f>
        <v>-0.00222315501757131</v>
      </c>
      <c r="F33" s="67" t="n">
        <f aca="false">PL!$C$37</f>
        <v>-81168.87</v>
      </c>
      <c r="G33" s="67" t="n">
        <f aca="false">Budget_FY26!$C$39</f>
        <v>-81055</v>
      </c>
      <c r="H33" s="76" t="n">
        <f aca="false">F33-G33</f>
        <v>-113.869999999995</v>
      </c>
      <c r="I33" s="79" t="n">
        <f aca="false">IF(G33=0,0,H33/ABS(G33))</f>
        <v>-0.00140484855961995</v>
      </c>
    </row>
    <row r="34" customFormat="false" ht="15" hidden="false" customHeight="false" outlineLevel="0" collapsed="false">
      <c r="A34" s="27" t="s">
        <v>430</v>
      </c>
      <c r="B34" s="67" t="n">
        <f aca="false">SUMIFS(PL!$E$38:$AB$38,Assumptions!$E$202:$AB$202,"A")</f>
        <v>-30255.42</v>
      </c>
      <c r="C34" s="67" t="n">
        <f aca="false">SUMIFS(Budget_FY26!$E$40:$P$40,Assumptions!$E$201:$P$201,"&lt;="&amp;Assumptions!$C$10)</f>
        <v>-30400</v>
      </c>
      <c r="D34" s="76" t="n">
        <f aca="false">B34-C34</f>
        <v>144.580000000002</v>
      </c>
      <c r="E34" s="79" t="n">
        <f aca="false">IF(C34=0,0,D34/ABS(C34))</f>
        <v>0.00475592105263164</v>
      </c>
      <c r="F34" s="67" t="n">
        <f aca="false">PL!$C$38</f>
        <v>-45455.42</v>
      </c>
      <c r="G34" s="67" t="n">
        <f aca="false">Budget_FY26!$C$40</f>
        <v>-45600</v>
      </c>
      <c r="H34" s="76" t="n">
        <f aca="false">F34-G34</f>
        <v>144.580000000002</v>
      </c>
      <c r="I34" s="79" t="n">
        <f aca="false">IF(G34=0,0,H34/ABS(G34))</f>
        <v>0.00317061403508776</v>
      </c>
    </row>
    <row r="35" customFormat="false" ht="15" hidden="false" customHeight="false" outlineLevel="0" collapsed="false">
      <c r="A35" s="27" t="s">
        <v>431</v>
      </c>
      <c r="B35" s="67" t="n">
        <f aca="false">SUMIFS(PL!$E$39:$AB$39,Assumptions!$E$202:$AB$202,"A")</f>
        <v>-11883.07</v>
      </c>
      <c r="C35" s="67" t="n">
        <f aca="false">SUMIFS(Budget_FY26!$E$41:$P$41,Assumptions!$E$201:$P$201,"&lt;="&amp;Assumptions!$C$10)</f>
        <v>-16400</v>
      </c>
      <c r="D35" s="76" t="n">
        <f aca="false">B35-C35</f>
        <v>4516.93</v>
      </c>
      <c r="E35" s="79" t="n">
        <f aca="false">IF(C35=0,0,D35/ABS(C35))</f>
        <v>0.27542256097561</v>
      </c>
      <c r="F35" s="67" t="n">
        <f aca="false">PL!$C$39</f>
        <v>-27528.1709722222</v>
      </c>
      <c r="G35" s="67" t="n">
        <f aca="false">Budget_FY26!$C$41</f>
        <v>-18000</v>
      </c>
      <c r="H35" s="76" t="n">
        <f aca="false">F35-G35</f>
        <v>-9528.17097222222</v>
      </c>
      <c r="I35" s="79" t="n">
        <f aca="false">IF(G35=0,0,H35/ABS(G35))</f>
        <v>-0.529342831790123</v>
      </c>
      <c r="J35" s="47" t="str">
        <f aca="false">"Recruitment follows the hires."</f>
        <v>Recruitment follows the hires.</v>
      </c>
    </row>
    <row r="36" customFormat="false" ht="15" hidden="false" customHeight="false" outlineLevel="0" collapsed="false">
      <c r="A36" s="27" t="s">
        <v>432</v>
      </c>
      <c r="B36" s="67" t="n">
        <f aca="false">SUMIFS(PL!$E$40:$AB$40,Assumptions!$E$202:$AB$202,"A")</f>
        <v>-25740.99</v>
      </c>
      <c r="C36" s="67" t="n">
        <f aca="false">SUMIFS(Budget_FY26!$E$42:$P$42,Assumptions!$E$201:$P$201,"&lt;="&amp;Assumptions!$C$10)</f>
        <v>-25600</v>
      </c>
      <c r="D36" s="76" t="n">
        <f aca="false">B36-C36</f>
        <v>-140.990000000002</v>
      </c>
      <c r="E36" s="79" t="n">
        <f aca="false">IF(C36=0,0,D36/ABS(C36))</f>
        <v>-0.00550742187500006</v>
      </c>
      <c r="F36" s="67" t="n">
        <f aca="false">PL!$C$40</f>
        <v>-38540.99</v>
      </c>
      <c r="G36" s="67" t="n">
        <f aca="false">Budget_FY26!$C$42</f>
        <v>-38400</v>
      </c>
      <c r="H36" s="76" t="n">
        <f aca="false">F36-G36</f>
        <v>-140.989999999998</v>
      </c>
      <c r="I36" s="79" t="n">
        <f aca="false">IF(G36=0,0,H36/ABS(G36))</f>
        <v>-0.00367161458333328</v>
      </c>
    </row>
    <row r="37" customFormat="false" ht="15" hidden="false" customHeight="false" outlineLevel="0" collapsed="false">
      <c r="A37" s="27" t="s">
        <v>433</v>
      </c>
      <c r="B37" s="67" t="n">
        <f aca="false">SUMIFS(PL!$E$41:$AB$41,Assumptions!$E$202:$AB$202,"A")</f>
        <v>-33552.73</v>
      </c>
      <c r="C37" s="67" t="n">
        <f aca="false">SUMIFS(Budget_FY26!$E$43:$P$43,Assumptions!$E$201:$P$201,"&lt;="&amp;Assumptions!$C$10)</f>
        <v>-33600</v>
      </c>
      <c r="D37" s="76" t="n">
        <f aca="false">B37-C37</f>
        <v>47.2700000000041</v>
      </c>
      <c r="E37" s="79" t="n">
        <f aca="false">IF(C37=0,0,D37/ABS(C37))</f>
        <v>0.00140684523809536</v>
      </c>
      <c r="F37" s="67" t="n">
        <f aca="false">PL!$C$41</f>
        <v>-50352.73</v>
      </c>
      <c r="G37" s="67" t="n">
        <f aca="false">Budget_FY26!$C$43</f>
        <v>-50400</v>
      </c>
      <c r="H37" s="76" t="n">
        <f aca="false">F37-G37</f>
        <v>47.2700000000041</v>
      </c>
      <c r="I37" s="79" t="n">
        <f aca="false">IF(G37=0,0,H37/ABS(G37))</f>
        <v>0.000937896825396906</v>
      </c>
    </row>
    <row r="38" customFormat="false" ht="15" hidden="false" customHeight="false" outlineLevel="0" collapsed="false">
      <c r="A38" s="27" t="s">
        <v>434</v>
      </c>
      <c r="B38" s="67" t="n">
        <f aca="false">SUMIFS(PL!$E$42:$AB$42,Assumptions!$E$202:$AB$202,"A")</f>
        <v>-21921.74</v>
      </c>
      <c r="C38" s="67" t="n">
        <f aca="false">SUMIFS(Budget_FY26!$E$44:$P$44,Assumptions!$E$201:$P$201,"&lt;="&amp;Assumptions!$C$10)</f>
        <v>-21600</v>
      </c>
      <c r="D38" s="76" t="n">
        <f aca="false">B38-C38</f>
        <v>-321.739999999998</v>
      </c>
      <c r="E38" s="79" t="n">
        <f aca="false">IF(C38=0,0,D38/ABS(C38))</f>
        <v>-0.0148953703703703</v>
      </c>
      <c r="F38" s="67" t="n">
        <f aca="false">PL!$C$42</f>
        <v>-32721.74</v>
      </c>
      <c r="G38" s="67" t="n">
        <f aca="false">Budget_FY26!$C$44</f>
        <v>-32400</v>
      </c>
      <c r="H38" s="76" t="n">
        <f aca="false">F38-G38</f>
        <v>-321.739999999998</v>
      </c>
      <c r="I38" s="79" t="n">
        <f aca="false">IF(G38=0,0,H38/ABS(G38))</f>
        <v>-0.00993024691358018</v>
      </c>
    </row>
    <row r="39" customFormat="false" ht="15" hidden="false" customHeight="false" outlineLevel="0" collapsed="false">
      <c r="A39" s="27" t="s">
        <v>435</v>
      </c>
      <c r="B39" s="67" t="n">
        <f aca="false">SUMIFS(PL!$E$43:$AB$43,Assumptions!$E$202:$AB$202,"A")</f>
        <v>-3538.16</v>
      </c>
      <c r="C39" s="67" t="n">
        <f aca="false">SUMIFS(Budget_FY26!$E$45:$P$45,Assumptions!$E$201:$P$201,"&lt;="&amp;Assumptions!$C$10)</f>
        <v>-3600</v>
      </c>
      <c r="D39" s="76" t="n">
        <f aca="false">B39-C39</f>
        <v>61.8400000000001</v>
      </c>
      <c r="E39" s="79" t="n">
        <f aca="false">IF(C39=0,0,D39/ABS(C39))</f>
        <v>0.0171777777777778</v>
      </c>
      <c r="F39" s="67" t="n">
        <f aca="false">PL!$C$43</f>
        <v>-5338.16</v>
      </c>
      <c r="G39" s="67" t="n">
        <f aca="false">Budget_FY26!$C$45</f>
        <v>-5400</v>
      </c>
      <c r="H39" s="76" t="n">
        <f aca="false">F39-G39</f>
        <v>61.8400000000001</v>
      </c>
      <c r="I39" s="79" t="n">
        <f aca="false">IF(G39=0,0,H39/ABS(G39))</f>
        <v>0.0114518518518519</v>
      </c>
    </row>
    <row r="40" customFormat="false" ht="15" hidden="false" customHeight="false" outlineLevel="0" collapsed="false">
      <c r="A40" s="80" t="s">
        <v>436</v>
      </c>
      <c r="B40" s="62" t="n">
        <f aca="false">SUMIFS(PL!$E$44:$AB$44,Assumptions!$E$202:$AB$202,"A")</f>
        <v>-781703.722625</v>
      </c>
      <c r="C40" s="62" t="n">
        <f aca="false">SUMIFS(Budget_FY26!$E$46:$P$46,Assumptions!$E$201:$P$201,"&lt;="&amp;Assumptions!$C$10)</f>
        <v>-786729.62</v>
      </c>
      <c r="D40" s="61" t="n">
        <f aca="false">B40-C40</f>
        <v>5025.89737499994</v>
      </c>
      <c r="E40" s="81" t="n">
        <f aca="false">IF(C40=0,0,D40/ABS(C40))</f>
        <v>0.0063883413656142</v>
      </c>
      <c r="F40" s="62" t="n">
        <f aca="false">PL!$C$44</f>
        <v>-1192752.45547013</v>
      </c>
      <c r="G40" s="62" t="n">
        <f aca="false">Budget_FY26!$C$46</f>
        <v>-1185135.71</v>
      </c>
      <c r="H40" s="61" t="n">
        <f aca="false">F40-G40</f>
        <v>-7616.74547012686</v>
      </c>
      <c r="I40" s="81" t="n">
        <f aca="false">IF(G40=0,0,H40/ABS(G40))</f>
        <v>-0.00642689727923805</v>
      </c>
      <c r="J40" s="83"/>
    </row>
    <row r="41" customFormat="false" ht="15" hidden="false" customHeight="false" outlineLevel="0" collapsed="false">
      <c r="A41" s="80" t="s">
        <v>393</v>
      </c>
      <c r="B41" s="62" t="n">
        <f aca="false">SUMIFS(PL!$E$45:$AB$45,Assumptions!$E$202:$AB$202,"A")</f>
        <v>478623.164237446</v>
      </c>
      <c r="C41" s="62" t="n">
        <f aca="false">SUMIFS(Budget_FY26!$E$47:$P$47,Assumptions!$E$201:$P$201,"&lt;="&amp;Assumptions!$C$10)</f>
        <v>812719.88</v>
      </c>
      <c r="D41" s="61" t="n">
        <f aca="false">B41-C41</f>
        <v>-334096.715762554</v>
      </c>
      <c r="E41" s="81" t="n">
        <f aca="false">IF(C41=0,0,D41/ABS(C41))</f>
        <v>-0.411084709485086</v>
      </c>
      <c r="F41" s="62" t="n">
        <f aca="false">PL!$C$45</f>
        <v>863221.588575057</v>
      </c>
      <c r="G41" s="62" t="n">
        <f aca="false">Budget_FY26!$C$47</f>
        <v>1357367.35</v>
      </c>
      <c r="H41" s="61" t="n">
        <f aca="false">F41-G41</f>
        <v>-494145.761424944</v>
      </c>
      <c r="I41" s="81" t="n">
        <f aca="false">IF(G41=0,0,H41/ABS(G41))</f>
        <v>-0.364047184002874</v>
      </c>
      <c r="J41" s="82" t="str">
        <f aca="false">"EUR "&amp;TEXT(ABS(D41)/1000,"#,##0")&amp;"k "&amp;IF(D41&lt;0,"behind","ahead of")&amp;" budget YTD; EUR "&amp;TEXT(ABS(H41)/1000,"#,##0")&amp;"k "&amp;IF(H41&lt;0,"behind","ahead of")&amp;" on the full-year outlook."</f>
        <v>EUR 334k behind budget YTD; EUR 494k behind on the full-year outlook.</v>
      </c>
    </row>
    <row r="42" customFormat="false" ht="15" hidden="false" customHeight="false" outlineLevel="0" collapsed="false">
      <c r="A42" s="80" t="s">
        <v>394</v>
      </c>
      <c r="B42" s="81" t="n">
        <f aca="false">IF(B15=0,0,B41/B15)</f>
        <v>0.100071919967984</v>
      </c>
      <c r="C42" s="81" t="n">
        <f aca="false">IF(C15=0,0,C41/C15)</f>
        <v>0.155123330681789</v>
      </c>
      <c r="D42" s="81" t="n">
        <f aca="false">B42-C42</f>
        <v>-0.0550514107138047</v>
      </c>
      <c r="E42" s="83"/>
      <c r="F42" s="81" t="n">
        <f aca="false">IF(F15=0,0,F41/F15)</f>
        <v>0.114605529295807</v>
      </c>
      <c r="G42" s="81" t="n">
        <f aca="false">IF(G15=0,0,G41/G15)</f>
        <v>0.165225174013109</v>
      </c>
      <c r="H42" s="81" t="n">
        <f aca="false">F42-G42</f>
        <v>-0.0506196447173026</v>
      </c>
      <c r="I42" s="83"/>
      <c r="J42" s="83"/>
    </row>
    <row r="43" customFormat="false" ht="15" hidden="false" customHeight="false" outlineLevel="0" collapsed="false">
      <c r="A43" s="27" t="s">
        <v>569</v>
      </c>
      <c r="B43" s="67" t="n">
        <f aca="false">SUMIFS(PL!$E$48:$AB$48,Assumptions!$E$202:$AB$202,"A")</f>
        <v>-77400.0266666667</v>
      </c>
      <c r="C43" s="67" t="n">
        <f aca="false">SUMIFS(Budget_FY26!$E$48:$P$48,Assumptions!$E$201:$P$201,"&lt;="&amp;Assumptions!$C$10)</f>
        <v>-77633.36</v>
      </c>
      <c r="D43" s="76" t="n">
        <f aca="false">B43-C43</f>
        <v>233.333333333328</v>
      </c>
      <c r="E43" s="79" t="n">
        <f aca="false">IF(C43=0,0,D43/ABS(C43))</f>
        <v>0.00300558076235949</v>
      </c>
      <c r="F43" s="67" t="n">
        <f aca="false">PL!$C$48</f>
        <v>-118347.389537037</v>
      </c>
      <c r="G43" s="67" t="n">
        <f aca="false">Budget_FY26!$C$48</f>
        <v>-119450.04</v>
      </c>
      <c r="H43" s="76" t="n">
        <f aca="false">F43-G43</f>
        <v>1102.65046296296</v>
      </c>
      <c r="I43" s="79" t="n">
        <f aca="false">IF(G43=0,0,H43/ABS(G43))</f>
        <v>0.00923105980511152</v>
      </c>
    </row>
    <row r="44" customFormat="false" ht="15" hidden="false" customHeight="false" outlineLevel="0" collapsed="false">
      <c r="A44" s="27" t="s">
        <v>440</v>
      </c>
      <c r="B44" s="67" t="n">
        <f aca="false">SUMIFS(PL!$E$50:$AB$50,Assumptions!$E$202:$AB$202,"A")</f>
        <v>-36914.25</v>
      </c>
      <c r="C44" s="67" t="n">
        <f aca="false">SUMIFS(Budget_FY26!$E$49:$P$49,Assumptions!$E$201:$P$201,"&lt;="&amp;Assumptions!$C$10)</f>
        <v>-35105.56</v>
      </c>
      <c r="D44" s="76" t="n">
        <f aca="false">B44-C44</f>
        <v>-1808.69</v>
      </c>
      <c r="E44" s="79" t="n">
        <f aca="false">IF(C44=0,0,D44/ABS(C44))</f>
        <v>-0.0515214683941804</v>
      </c>
      <c r="F44" s="67" t="n">
        <f aca="false">PL!$C$50</f>
        <v>-53303.1394166667</v>
      </c>
      <c r="G44" s="67" t="n">
        <f aca="false">Budget_FY26!$C$49</f>
        <v>-49691.66</v>
      </c>
      <c r="H44" s="76" t="n">
        <f aca="false">F44-G44</f>
        <v>-3611.47941666665</v>
      </c>
      <c r="I44" s="79" t="n">
        <f aca="false">IF(G44=0,0,H44/ABS(G44))</f>
        <v>-0.0726777776525609</v>
      </c>
    </row>
    <row r="45" customFormat="false" ht="15" hidden="false" customHeight="false" outlineLevel="0" collapsed="false">
      <c r="A45" s="27" t="s">
        <v>570</v>
      </c>
      <c r="B45" s="67" t="n">
        <f aca="false">SUMIFS(PL!$E$51:$AB$51,Assumptions!$E$202:$AB$202,"A")</f>
        <v>-89.6361454792132</v>
      </c>
      <c r="C45" s="67" t="n">
        <f aca="false">SUMIFS(Budget_FY26!$E$50:$P$50,Assumptions!$E$201:$P$201,"&lt;="&amp;Assumptions!$C$10)</f>
        <v>0</v>
      </c>
      <c r="D45" s="76" t="n">
        <f aca="false">B45-C45</f>
        <v>-89.6361454792132</v>
      </c>
      <c r="E45" s="79" t="n">
        <f aca="false">IF(C45=0,0,D45/ABS(C45))</f>
        <v>0</v>
      </c>
      <c r="F45" s="67" t="n">
        <f aca="false">PL!$C$51</f>
        <v>-426.520237108129</v>
      </c>
      <c r="G45" s="67" t="n">
        <f aca="false">Budget_FY26!$C$50</f>
        <v>0</v>
      </c>
      <c r="H45" s="76" t="n">
        <f aca="false">F45-G45</f>
        <v>-426.520237108129</v>
      </c>
      <c r="I45" s="79" t="n">
        <f aca="false">IF(G45=0,0,H45/ABS(G45))</f>
        <v>0</v>
      </c>
    </row>
    <row r="46" customFormat="false" ht="15" hidden="false" customHeight="false" outlineLevel="0" collapsed="false">
      <c r="A46" s="27" t="s">
        <v>443</v>
      </c>
      <c r="B46" s="67" t="n">
        <f aca="false">SUMIFS(PL!$E$53:$AB$53,Assumptions!$E$202:$AB$202,"A")</f>
        <v>-72664.9465421865</v>
      </c>
      <c r="C46" s="67" t="n">
        <f aca="false">SUMIFS(Budget_FY26!$E$52:$P$52,Assumptions!$E$201:$P$201,"&lt;="&amp;Assumptions!$C$10)</f>
        <v>-142317.9</v>
      </c>
      <c r="D46" s="76" t="n">
        <f aca="false">B46-C46</f>
        <v>69652.9534578135</v>
      </c>
      <c r="E46" s="79" t="n">
        <f aca="false">IF(C46=0,0,D46/ABS(C46))</f>
        <v>0.489418080633663</v>
      </c>
      <c r="F46" s="67" t="n">
        <f aca="false">PL!$C$53</f>
        <v>-139684.63057377</v>
      </c>
      <c r="G46" s="67" t="n">
        <f aca="false">Budget_FY26!$C$52</f>
        <v>-241586.25</v>
      </c>
      <c r="H46" s="76" t="n">
        <f aca="false">F46-G46</f>
        <v>101901.61942623</v>
      </c>
      <c r="I46" s="79" t="n">
        <f aca="false">IF(G46=0,0,H46/ABS(G46))</f>
        <v>0.421802231816711</v>
      </c>
      <c r="J46" s="47" t="str">
        <f aca="false">"Lower profit; FY2026 rates 19% and 15% on the first EUR 50,000."</f>
        <v>Lower profit; FY2026 rates 19% and 15% on the first EUR 50,000.</v>
      </c>
    </row>
    <row r="47" customFormat="false" ht="15" hidden="false" customHeight="false" outlineLevel="0" collapsed="false">
      <c r="A47" s="80" t="s">
        <v>444</v>
      </c>
      <c r="B47" s="62" t="n">
        <f aca="false">SUMIFS(PL!$E$54:$AB$54,Assumptions!$E$202:$AB$202,"A")</f>
        <v>291554.304883113</v>
      </c>
      <c r="C47" s="62" t="n">
        <f aca="false">SUMIFS(Budget_FY26!$E$53:$P$53,Assumptions!$E$201:$P$201,"&lt;="&amp;Assumptions!$C$10)</f>
        <v>557663.06</v>
      </c>
      <c r="D47" s="61" t="n">
        <f aca="false">B47-C47</f>
        <v>-266108.755116887</v>
      </c>
      <c r="E47" s="81" t="n">
        <f aca="false">IF(C47=0,0,D47/ABS(C47))</f>
        <v>-0.477185552001394</v>
      </c>
      <c r="F47" s="62" t="n">
        <f aca="false">PL!$C$54</f>
        <v>551459.908810474</v>
      </c>
      <c r="G47" s="62" t="n">
        <f aca="false">Budget_FY26!$C$53</f>
        <v>946639.400000001</v>
      </c>
      <c r="H47" s="61" t="n">
        <f aca="false">F47-G47</f>
        <v>-395179.491189526</v>
      </c>
      <c r="I47" s="81" t="n">
        <f aca="false">IF(G47=0,0,H47/ABS(G47))</f>
        <v>-0.417455148380181</v>
      </c>
      <c r="J47" s="83"/>
    </row>
    <row r="48" customFormat="false" ht="15" hidden="false" customHeight="false" outlineLevel="0" collapsed="false">
      <c r="A48" s="21" t="s">
        <v>571</v>
      </c>
      <c r="B48" s="22"/>
      <c r="C48" s="22"/>
      <c r="D48" s="22"/>
      <c r="E48" s="22"/>
      <c r="F48" s="22"/>
      <c r="G48" s="22"/>
      <c r="H48" s="22"/>
      <c r="I48" s="22"/>
      <c r="J48" s="22"/>
    </row>
    <row r="49" customFormat="false" ht="15" hidden="false" customHeight="false" outlineLevel="0" collapsed="false">
      <c r="A49" s="27" t="s">
        <v>358</v>
      </c>
      <c r="B49" s="67" t="n">
        <f aca="false">INDEX(Contracts!$E$161:$AB$161,Assumptions!$C$10)</f>
        <v>3951</v>
      </c>
      <c r="C49" s="67" t="n">
        <f aca="false">INDEX(Budget_FY26!$E$55:$P$55,Assumptions!$C$10)</f>
        <v>4109.37</v>
      </c>
      <c r="D49" s="76" t="n">
        <f aca="false">B49-C49</f>
        <v>-158.37</v>
      </c>
      <c r="E49" s="79" t="n">
        <f aca="false">IF(C49=0,0,D49/ABS(C49))</f>
        <v>-0.0385387541155943</v>
      </c>
      <c r="F49" s="67" t="n">
        <f aca="false">Contracts!$C$161</f>
        <v>4207.06332065432</v>
      </c>
      <c r="G49" s="67" t="n">
        <f aca="false">Budget_FY26!$C$55</f>
        <v>4232.04</v>
      </c>
      <c r="H49" s="76" t="n">
        <f aca="false">F49-G49</f>
        <v>-24.9766793456838</v>
      </c>
      <c r="I49" s="79" t="n">
        <f aca="false">IF(G49=0,0,H49/ABS(G49))</f>
        <v>-0.00590180606650311</v>
      </c>
    </row>
    <row r="50" customFormat="false" ht="15" hidden="false" customHeight="false" outlineLevel="0" collapsed="false">
      <c r="A50" s="27" t="s">
        <v>572</v>
      </c>
      <c r="B50" s="67" t="n">
        <f aca="false">INDEX(Contracts!$E$163:$AB$163,Assumptions!$C$10)</f>
        <v>236994.81</v>
      </c>
      <c r="C50" s="67" t="n">
        <f aca="false">INDEX(Budget_FY26!$E$57:$P$57,Assumptions!$C$10)</f>
        <v>246681</v>
      </c>
      <c r="D50" s="76" t="n">
        <f aca="false">B50-C50</f>
        <v>-9686.19</v>
      </c>
      <c r="E50" s="79" t="n">
        <f aca="false">IF(C50=0,0,D50/ABS(C50))</f>
        <v>-0.0392660561616014</v>
      </c>
      <c r="F50" s="67" t="n">
        <f aca="false">INDEX(Contracts!$E$163:$AB$163,12)</f>
        <v>251930.237107725</v>
      </c>
      <c r="G50" s="67" t="n">
        <f aca="false">Budget_FY26!$P$57</f>
        <v>255419.05</v>
      </c>
      <c r="H50" s="76" t="n">
        <f aca="false">F50-G50</f>
        <v>-3488.81289227528</v>
      </c>
      <c r="I50" s="79" t="n">
        <f aca="false">IF(G50=0,0,H50/ABS(G50))</f>
        <v>-0.0136591726117346</v>
      </c>
    </row>
    <row r="51" customFormat="false" ht="15" hidden="false" customHeight="false" outlineLevel="0" collapsed="false">
      <c r="A51" s="27" t="s">
        <v>360</v>
      </c>
      <c r="B51" s="69" t="n">
        <f aca="false">INDEX(Contracts!$E$170:$AB$170,Assumptions!$C$10)</f>
        <v>32</v>
      </c>
      <c r="C51" s="69" t="n">
        <f aca="false">INDEX(Budget_FY26!$E$58:$P$58,Assumptions!$C$10)</f>
        <v>33</v>
      </c>
      <c r="D51" s="84" t="n">
        <f aca="false">B51-C51</f>
        <v>-1</v>
      </c>
      <c r="E51" s="79" t="n">
        <f aca="false">IF(C51=0,0,D51/ABS(C51))</f>
        <v>-0.0303030303030303</v>
      </c>
      <c r="F51" s="69" t="n">
        <f aca="false">Contracts!$C$170</f>
        <v>33</v>
      </c>
      <c r="G51" s="69" t="n">
        <f aca="false">Budget_FY26!$C$58</f>
        <v>34</v>
      </c>
      <c r="H51" s="84" t="n">
        <f aca="false">F51-G51</f>
        <v>-1</v>
      </c>
      <c r="I51" s="79" t="n">
        <f aca="false">IF(G51=0,0,H51/ABS(G51))</f>
        <v>-0.0294117647058824</v>
      </c>
    </row>
    <row r="52" customFormat="false" ht="15" hidden="false" customHeight="false" outlineLevel="0" collapsed="false">
      <c r="A52" s="27" t="s">
        <v>368</v>
      </c>
      <c r="B52" s="64" t="n">
        <f aca="false">AVERAGEIFS(Service_Desk!$E$25:$AB$25,Assumptions!$E$202:$AB$202,"A")</f>
        <v>0.892520007481649</v>
      </c>
      <c r="C52" s="64" t="n">
        <f aca="false">AVERAGEIFS(Budget_FY26!$E$62:$P$62,Assumptions!$E$201:$P$201,"&lt;="&amp;Assumptions!$C$10)</f>
        <v>0.81</v>
      </c>
      <c r="D52" s="79" t="n">
        <f aca="false">B52-C52</f>
        <v>0.0825200074816486</v>
      </c>
      <c r="E52" s="79" t="n">
        <f aca="false">IF(C52=0,0,D52/ABS(C52))</f>
        <v>0.10187655244648</v>
      </c>
      <c r="F52" s="64" t="n">
        <f aca="false">Service_Desk!$C$25</f>
        <v>0.891250518425235</v>
      </c>
      <c r="G52" s="64" t="n">
        <f aca="false">Budget_FY26!$C$62</f>
        <v>0.815</v>
      </c>
      <c r="H52" s="79" t="n">
        <f aca="false">F52-G52</f>
        <v>0.0762505184252348</v>
      </c>
      <c r="I52" s="79" t="n">
        <f aca="false">IF(G52=0,0,H52/ABS(G52))</f>
        <v>0.0935589183131715</v>
      </c>
    </row>
    <row r="53" customFormat="false" ht="15" hidden="false" customHeight="false" outlineLevel="0" collapsed="false">
      <c r="A53" s="27" t="s">
        <v>573</v>
      </c>
      <c r="B53" s="73" t="n">
        <f aca="false">IFERROR(SUMIFS(Rebates!$E$13:$AB$13,Assumptions!$E$202:$AB$202,"A")/SUMIFS(Rebates!$E$9:$AB$9,Assumptions!$E$202:$AB$202,"A"),0)</f>
        <v>0.0150000096654781</v>
      </c>
      <c r="C53" s="73" t="n">
        <f aca="false">INDEX(Budget_FY26!$E$61:$P$61,Assumptions!$C$10)</f>
        <v>0.03</v>
      </c>
      <c r="D53" s="85" t="n">
        <f aca="false">B53-C53</f>
        <v>-0.0149999903345219</v>
      </c>
      <c r="E53" s="79" t="n">
        <f aca="false">IF(C53=0,0,D53/ABS(C53))</f>
        <v>-0.499999677817397</v>
      </c>
      <c r="F53" s="73" t="n">
        <f aca="false">Rebates!$C$27</f>
        <v>0.0150000071034147</v>
      </c>
      <c r="G53" s="73" t="n">
        <f aca="false">Budget_FY26!$C$61</f>
        <v>0.03</v>
      </c>
      <c r="H53" s="85" t="n">
        <f aca="false">F53-G53</f>
        <v>-0.0149999928965853</v>
      </c>
      <c r="I53" s="79" t="n">
        <f aca="false">IF(G53=0,0,H53/ABS(G53))</f>
        <v>-0.499999763219509</v>
      </c>
    </row>
    <row r="54" customFormat="false" ht="15" hidden="false" customHeight="false" outlineLevel="0" collapsed="false">
      <c r="A54" s="27" t="s">
        <v>372</v>
      </c>
      <c r="B54" s="75" t="n">
        <f aca="false">INDEX(People!$E$27:$AB$27,Assumptions!$C$10)</f>
        <v>37</v>
      </c>
      <c r="C54" s="75" t="n">
        <f aca="false">INDEX(Budget_FY26!$E$63:$P$63,Assumptions!$C$10)</f>
        <v>43</v>
      </c>
      <c r="D54" s="86" t="n">
        <f aca="false">B54-C54</f>
        <v>-6</v>
      </c>
      <c r="E54" s="79" t="n">
        <f aca="false">IF(C54=0,0,D54/ABS(C54))</f>
        <v>-0.13953488372093</v>
      </c>
      <c r="F54" s="75" t="n">
        <f aca="false">People!$C$27</f>
        <v>41.0636517780633</v>
      </c>
      <c r="G54" s="75" t="n">
        <f aca="false">Budget_FY26!$C$63</f>
        <v>43</v>
      </c>
      <c r="H54" s="86" t="n">
        <f aca="false">F54-G54</f>
        <v>-1.93634822193673</v>
      </c>
      <c r="I54" s="79" t="n">
        <f aca="false">IF(G54=0,0,H54/ABS(G54))</f>
        <v>-0.0450313539985285</v>
      </c>
    </row>
    <row r="55" customFormat="false" ht="15" hidden="false" customHeight="false" outlineLevel="0" collapsed="false">
      <c r="A55" s="27" t="s">
        <v>396</v>
      </c>
      <c r="B55" s="75" t="n">
        <f aca="false">INDEX(People!$E$26:$AB$26,Assumptions!$C$10)</f>
        <v>68</v>
      </c>
      <c r="C55" s="75" t="n">
        <f aca="false">INDEX(Budget_FY26!$E$64:$P$64,Assumptions!$C$10)</f>
        <v>74</v>
      </c>
      <c r="D55" s="86" t="n">
        <f aca="false">B55-C55</f>
        <v>-6</v>
      </c>
      <c r="E55" s="79" t="n">
        <f aca="false">IF(C55=0,0,D55/ABS(C55))</f>
        <v>-0.0810810810810811</v>
      </c>
      <c r="F55" s="75" t="n">
        <f aca="false">People!$C$26</f>
        <v>71.5451917372025</v>
      </c>
      <c r="G55" s="75" t="n">
        <f aca="false">Budget_FY26!$C$64</f>
        <v>74</v>
      </c>
      <c r="H55" s="86" t="n">
        <f aca="false">F55-G55</f>
        <v>-2.45480826279754</v>
      </c>
      <c r="I55" s="79" t="n">
        <f aca="false">IF(G55=0,0,H55/ABS(G55))</f>
        <v>-0.0331730846323992</v>
      </c>
    </row>
    <row r="56" customFormat="false" ht="15" hidden="false" customHeight="false" outlineLevel="0" collapsed="false">
      <c r="A56" s="27" t="s">
        <v>385</v>
      </c>
      <c r="B56" s="67" t="n">
        <f aca="false">INDEX(BS!$E$9:$AB$9,Assumptions!$C$10)</f>
        <v>842052.882849998</v>
      </c>
      <c r="C56" s="67" t="n">
        <f aca="false">INDEX(Budget_FY26!$E$66:$P$66,Assumptions!$C$10)</f>
        <v>877953.28</v>
      </c>
      <c r="D56" s="76" t="n">
        <f aca="false">B56-C56</f>
        <v>-35900.3971500017</v>
      </c>
      <c r="E56" s="79" t="n">
        <f aca="false">IF(C56=0,0,D56/ABS(C56))</f>
        <v>-0.0408910109089196</v>
      </c>
      <c r="F56" s="67" t="n">
        <f aca="false">BS!$C$9</f>
        <v>704225.523172196</v>
      </c>
      <c r="G56" s="67" t="n">
        <f aca="false">Budget_FY26!$C$66</f>
        <v>1112926.52</v>
      </c>
      <c r="H56" s="76" t="n">
        <f aca="false">F56-G56</f>
        <v>-408700.996827804</v>
      </c>
      <c r="I56" s="79" t="n">
        <f aca="false">IF(G56=0,0,H56/ABS(G56))</f>
        <v>-0.367230890344678</v>
      </c>
    </row>
    <row r="57" customFormat="false" ht="15" hidden="false" customHeight="false" outlineLevel="0" collapsed="false">
      <c r="A57" s="27" t="s">
        <v>389</v>
      </c>
      <c r="B57" s="67" t="n">
        <f aca="false">INDEX(BS!$E$55:$AB$55,Assumptions!$C$10)</f>
        <v>191280.477150001</v>
      </c>
      <c r="C57" s="67" t="n">
        <f aca="false">INDEX(Budget_FY26!$E$67:$P$67,Assumptions!$C$10)</f>
        <v>155380.08</v>
      </c>
      <c r="D57" s="76" t="n">
        <f aca="false">B57-C57</f>
        <v>35900.3971500012</v>
      </c>
      <c r="E57" s="79" t="n">
        <f aca="false">IF(C57=0,0,D57/ABS(C57))</f>
        <v>0.2310489037591</v>
      </c>
      <c r="F57" s="67" t="n">
        <f aca="false">BS!$C$55</f>
        <v>195774.516827804</v>
      </c>
      <c r="G57" s="67" t="n">
        <f aca="false">Budget_FY26!$C$67</f>
        <v>-212926.48</v>
      </c>
      <c r="H57" s="76" t="n">
        <f aca="false">F57-G57</f>
        <v>408700.996827804</v>
      </c>
      <c r="I57" s="79" t="n">
        <f aca="false">IF(G57=0,0,H57/ABS(G57))</f>
        <v>1.91944654712652</v>
      </c>
    </row>
    <row r="59" customFormat="false" ht="15" hidden="false" customHeight="false" outlineLevel="0" collapsed="false">
      <c r="A59" s="21" t="s">
        <v>574</v>
      </c>
      <c r="B59" s="22"/>
      <c r="C59" s="22"/>
      <c r="D59" s="22"/>
      <c r="E59" s="22"/>
      <c r="F59" s="22"/>
      <c r="G59" s="22"/>
      <c r="H59" s="22"/>
      <c r="I59" s="22"/>
      <c r="J59" s="22"/>
    </row>
    <row r="60" customFormat="false" ht="30" hidden="false" customHeight="true" outlineLevel="0" collapsed="false">
      <c r="A60" s="43" t="s">
        <v>575</v>
      </c>
      <c r="B60" s="44" t="s">
        <v>562</v>
      </c>
      <c r="C60" s="44" t="s">
        <v>563</v>
      </c>
      <c r="D60" s="44" t="s">
        <v>576</v>
      </c>
      <c r="E60" s="44" t="s">
        <v>577</v>
      </c>
      <c r="F60" s="44" t="s">
        <v>566</v>
      </c>
      <c r="G60" s="44" t="s">
        <v>567</v>
      </c>
      <c r="H60" s="44" t="s">
        <v>578</v>
      </c>
      <c r="I60" s="44" t="s">
        <v>579</v>
      </c>
    </row>
    <row r="61" customFormat="false" ht="15" hidden="false" customHeight="false" outlineLevel="0" collapsed="false">
      <c r="A61" s="0" t="s">
        <v>580</v>
      </c>
      <c r="B61" s="28" t="n">
        <f aca="false">SUMPRODUCT(Contracts!$E$146:$P$146*(Assumptions!$E$201:$P$201&lt;=Assumptions!$C$10))</f>
        <v>33078</v>
      </c>
      <c r="C61" s="28" t="n">
        <f aca="false">SUMPRODUCT(Budget_FY26!$E$10:$P$10*(Assumptions!$E$201:$P$201&lt;=Assumptions!$C$10))</f>
        <v>67117.12</v>
      </c>
      <c r="D61" s="28" t="n">
        <f aca="false">B61-C61</f>
        <v>-34039.12</v>
      </c>
      <c r="E61" s="28" t="n">
        <f aca="false">D61</f>
        <v>-34039.12</v>
      </c>
      <c r="F61" s="28" t="n">
        <f aca="false">SUMPRODUCT(Contracts!$E$146:$P$146)</f>
        <v>33078</v>
      </c>
      <c r="G61" s="28" t="n">
        <f aca="false">SUMPRODUCT(Budget_FY26!$E$10:$P$10)</f>
        <v>101280.26</v>
      </c>
      <c r="H61" s="28" t="n">
        <f aca="false">F61-G61</f>
        <v>-68202.26</v>
      </c>
      <c r="I61" s="28" t="n">
        <f aca="false">H61</f>
        <v>-68202.26</v>
      </c>
    </row>
    <row r="62" customFormat="false" ht="15" hidden="false" customHeight="false" outlineLevel="0" collapsed="false">
      <c r="A62" s="0" t="s">
        <v>581</v>
      </c>
      <c r="B62" s="28" t="n">
        <f aca="false">SUMPRODUCT((Contracts!$E$153:$P$153+Contracts!$E$154:$P$154+Contracts!$E$155:$P$155+Contracts!$E$156:$P$156+Contracts!$E$157:$P$157+Contracts!$E$158:$P$158+Contracts!$E$159:$P$159)*(Assumptions!$E$201:$P$201&lt;=Assumptions!$C$10))</f>
        <v>61667</v>
      </c>
      <c r="C62" s="28" t="n">
        <f aca="false">SUMPRODUCT(Budget_FY26!$E$11:$P$11*(Assumptions!$E$201:$P$201&lt;=Assumptions!$C$10))</f>
        <v>69840</v>
      </c>
      <c r="D62" s="28" t="n">
        <f aca="false">B62-C62</f>
        <v>-8173</v>
      </c>
      <c r="E62" s="28" t="n">
        <f aca="false">D62</f>
        <v>-8173</v>
      </c>
      <c r="F62" s="28" t="n">
        <f aca="false">SUMPRODUCT((Contracts!$E$153:$P$153+Contracts!$E$154:$P$154+Contracts!$E$155:$P$155+Contracts!$E$156:$P$156+Contracts!$E$157:$P$157+Contracts!$E$158:$P$158+Contracts!$E$159:$P$159))</f>
        <v>155121.875925489</v>
      </c>
      <c r="G62" s="28" t="n">
        <f aca="false">SUMPRODUCT(Budget_FY26!$E$11:$P$11)</f>
        <v>162960</v>
      </c>
      <c r="H62" s="28" t="n">
        <f aca="false">F62-G62</f>
        <v>-7838.12407451114</v>
      </c>
      <c r="I62" s="28" t="n">
        <f aca="false">H62</f>
        <v>-7838.12407451114</v>
      </c>
    </row>
    <row r="63" customFormat="false" ht="15" hidden="false" customHeight="false" outlineLevel="0" collapsed="false">
      <c r="A63" s="0" t="s">
        <v>582</v>
      </c>
      <c r="B63" s="28" t="n">
        <f aca="false">SUMPRODUCT((Contracts!$E$163:$P$163-Contracts!$E$146:$P$146-Contracts!$E$153:$P$153-Contracts!$E$154:$P$154-Contracts!$E$155:$P$155-Contracts!$E$156:$P$156-Contracts!$E$157:$P$157-Contracts!$E$158:$P$158-Contracts!$E$159:$P$159)*(Assumptions!$E$201:$P$201&lt;=Assumptions!$C$10))</f>
        <v>1740270.91</v>
      </c>
      <c r="C63" s="28" t="n">
        <f aca="false">SUMPRODUCT(Budget_FY26!$E$9:$P$9*(Assumptions!$E$201:$P$201&lt;=Assumptions!$C$10))</f>
        <v>1739521.81</v>
      </c>
      <c r="D63" s="28" t="n">
        <f aca="false">B63-C63</f>
        <v>749.09999999986</v>
      </c>
      <c r="E63" s="28" t="n">
        <f aca="false">D63</f>
        <v>749.09999999986</v>
      </c>
      <c r="F63" s="28" t="n">
        <f aca="false">SUMPRODUCT((Contracts!$E$163:$P$163-Contracts!$E$146:$P$146-Contracts!$E$153:$P$153-Contracts!$E$154:$P$154-Contracts!$E$155:$P$155-Contracts!$E$156:$P$156-Contracts!$E$157:$P$157-Contracts!$E$158:$P$158-Contracts!$E$159:$P$159))</f>
        <v>2625669.96472594</v>
      </c>
      <c r="G63" s="28" t="n">
        <f aca="false">SUMPRODUCT(Budget_FY26!$E$9:$P$9)</f>
        <v>2629570.39</v>
      </c>
      <c r="H63" s="28" t="n">
        <f aca="false">F63-G63</f>
        <v>-3900.42527406011</v>
      </c>
      <c r="I63" s="28" t="n">
        <f aca="false">H63</f>
        <v>-3900.42527406011</v>
      </c>
    </row>
    <row r="64" customFormat="false" ht="15" hidden="false" customHeight="false" outlineLevel="0" collapsed="false">
      <c r="A64" s="0" t="s">
        <v>583</v>
      </c>
      <c r="B64" s="28" t="n">
        <f aca="false">SUMPRODUCT(PL!$E$10:$P$10*(Assumptions!$E$201:$P$201&lt;=Assumptions!$C$10))</f>
        <v>-37653.01</v>
      </c>
      <c r="C64" s="28" t="n">
        <f aca="false">SUMPRODUCT(Budget_FY26!$E$13:$P$13*(Assumptions!$E$201:$P$201&lt;=Assumptions!$C$10))</f>
        <v>-7505.91</v>
      </c>
      <c r="D64" s="28" t="n">
        <f aca="false">B64-C64</f>
        <v>-30147.1</v>
      </c>
      <c r="E64" s="28" t="n">
        <f aca="false">D64</f>
        <v>-30147.1</v>
      </c>
      <c r="F64" s="28" t="n">
        <f aca="false">SUMPRODUCT(PL!$E$10:$P$10)</f>
        <v>-56251.0392045859</v>
      </c>
      <c r="G64" s="28" t="n">
        <f aca="false">SUMPRODUCT(Budget_FY26!$E$13:$P$13)</f>
        <v>-11575.24</v>
      </c>
      <c r="H64" s="28" t="n">
        <f aca="false">F64-G64</f>
        <v>-44675.7992045859</v>
      </c>
      <c r="I64" s="28" t="n">
        <f aca="false">H64</f>
        <v>-44675.7992045859</v>
      </c>
    </row>
    <row r="65" customFormat="false" ht="15" hidden="false" customHeight="false" outlineLevel="0" collapsed="false">
      <c r="A65" s="0" t="s">
        <v>584</v>
      </c>
      <c r="B65" s="28" t="n">
        <f aca="false">SUMPRODUCT(PL!$E$11:$P$11*(Assumptions!$E$201:$P$201&lt;=Assumptions!$C$10))</f>
        <v>3550</v>
      </c>
      <c r="C65" s="28" t="n">
        <f aca="false">SUMPRODUCT(Budget_FY26!$E$14:$P$14*(Assumptions!$E$201:$P$201&lt;=Assumptions!$C$10))</f>
        <v>3700</v>
      </c>
      <c r="D65" s="28" t="n">
        <f aca="false">B65-C65</f>
        <v>-150</v>
      </c>
      <c r="E65" s="28" t="n">
        <f aca="false">D65</f>
        <v>-150</v>
      </c>
      <c r="F65" s="28" t="n">
        <f aca="false">SUMPRODUCT(PL!$E$11:$P$11)</f>
        <v>6655</v>
      </c>
      <c r="G65" s="28" t="n">
        <f aca="false">SUMPRODUCT(Budget_FY26!$E$14:$P$14)</f>
        <v>6675</v>
      </c>
      <c r="H65" s="28" t="n">
        <f aca="false">F65-G65</f>
        <v>-20</v>
      </c>
      <c r="I65" s="28" t="n">
        <f aca="false">H65</f>
        <v>-20</v>
      </c>
    </row>
    <row r="66" customFormat="false" ht="15" hidden="false" customHeight="false" outlineLevel="0" collapsed="false">
      <c r="A66" s="0" t="s">
        <v>585</v>
      </c>
      <c r="B66" s="28" t="n">
        <f aca="false">SUMPRODUCT(PL!$E$12:$P$12*(Assumptions!$E$201:$P$201&lt;=Assumptions!$C$10))</f>
        <v>538291.89</v>
      </c>
      <c r="C66" s="28" t="n">
        <f aca="false">SUMPRODUCT(Budget_FY26!$E$15:$P$15*(Assumptions!$E$201:$P$201&lt;=Assumptions!$C$10))</f>
        <v>550086.25</v>
      </c>
      <c r="D66" s="28" t="n">
        <f aca="false">B66-C66</f>
        <v>-11794.36</v>
      </c>
      <c r="E66" s="28" t="n">
        <f aca="false">D66</f>
        <v>-11794.36</v>
      </c>
      <c r="F66" s="28" t="n">
        <f aca="false">SUMPRODUCT(PL!$E$12:$P$12)</f>
        <v>822656.618564107</v>
      </c>
      <c r="G66" s="28" t="n">
        <f aca="false">SUMPRODUCT(Budget_FY26!$E$15:$P$15)</f>
        <v>844203.58</v>
      </c>
      <c r="H66" s="28" t="n">
        <f aca="false">F66-G66</f>
        <v>-21546.9614358926</v>
      </c>
      <c r="I66" s="28" t="n">
        <f aca="false">H66</f>
        <v>-21546.9614358926</v>
      </c>
    </row>
    <row r="67" customFormat="false" ht="15" hidden="false" customHeight="false" outlineLevel="0" collapsed="false">
      <c r="A67" s="0" t="s">
        <v>586</v>
      </c>
      <c r="B67" s="28" t="n">
        <f aca="false">SUMPRODUCT(PL!$E$13:$P$13*(Assumptions!$E$201:$P$201&lt;=Assumptions!$C$10))</f>
        <v>271275</v>
      </c>
      <c r="C67" s="28" t="n">
        <f aca="false">SUMPRODUCT(Budget_FY26!$E$16:$P$16*(Assumptions!$E$201:$P$201&lt;=Assumptions!$C$10))</f>
        <v>267825</v>
      </c>
      <c r="D67" s="28" t="n">
        <f aca="false">B67-C67</f>
        <v>3450</v>
      </c>
      <c r="E67" s="28" t="n">
        <f aca="false">D67</f>
        <v>3450</v>
      </c>
      <c r="F67" s="28" t="n">
        <f aca="false">SUMPRODUCT(PL!$E$13:$P$13)</f>
        <v>408415</v>
      </c>
      <c r="G67" s="28" t="n">
        <f aca="false">SUMPRODUCT(Budget_FY26!$E$16:$P$16)</f>
        <v>403149.99</v>
      </c>
      <c r="H67" s="28" t="n">
        <f aca="false">F67-G67</f>
        <v>5265.01000000001</v>
      </c>
      <c r="I67" s="28" t="n">
        <f aca="false">H67</f>
        <v>5265.01000000001</v>
      </c>
    </row>
    <row r="68" customFormat="false" ht="15" hidden="false" customHeight="false" outlineLevel="0" collapsed="false">
      <c r="A68" s="0" t="s">
        <v>587</v>
      </c>
      <c r="B68" s="28" t="n">
        <f aca="false">SUMPRODUCT(PL!$E$14:$P$14*(Assumptions!$E$201:$P$201&lt;=Assumptions!$C$10))</f>
        <v>61998.9</v>
      </c>
      <c r="C68" s="28" t="n">
        <f aca="false">SUMPRODUCT(Budget_FY26!$E$17:$P$17*(Assumptions!$E$201:$P$201&lt;=Assumptions!$C$10))</f>
        <v>64829.9</v>
      </c>
      <c r="D68" s="28" t="n">
        <f aca="false">B68-C68</f>
        <v>-2831.00000000001</v>
      </c>
      <c r="E68" s="28" t="n">
        <f aca="false">D68</f>
        <v>-2831.00000000001</v>
      </c>
      <c r="F68" s="28" t="n">
        <f aca="false">SUMPRODUCT(PL!$E$14:$P$14)</f>
        <v>100390.79875</v>
      </c>
      <c r="G68" s="28" t="n">
        <f aca="false">SUMPRODUCT(Budget_FY26!$E$17:$P$17)</f>
        <v>108993.5</v>
      </c>
      <c r="H68" s="28" t="n">
        <f aca="false">F68-G68</f>
        <v>-8602.70125</v>
      </c>
      <c r="I68" s="28" t="n">
        <f aca="false">H68</f>
        <v>-8602.70125</v>
      </c>
    </row>
    <row r="69" customFormat="false" ht="15" hidden="false" customHeight="false" outlineLevel="0" collapsed="false">
      <c r="A69" s="0" t="s">
        <v>53</v>
      </c>
      <c r="B69" s="28" t="n">
        <f aca="false">SUMPRODUCT(PL!$E$15:$P$15*(Assumptions!$E$201:$P$201&lt;=Assumptions!$C$10))</f>
        <v>1575000</v>
      </c>
      <c r="C69" s="28" t="n">
        <f aca="false">SUMPRODUCT(Budget_FY26!$E$18:$P$18*(Assumptions!$E$201:$P$201&lt;=Assumptions!$C$10))</f>
        <v>1708135.41</v>
      </c>
      <c r="D69" s="28" t="n">
        <f aca="false">B69-C69</f>
        <v>-133135.41</v>
      </c>
      <c r="E69" s="28" t="n">
        <f aca="false">D69</f>
        <v>-133135.41</v>
      </c>
      <c r="F69" s="28" t="n">
        <f aca="false">SUMPRODUCT(PL!$E$15:$P$15)</f>
        <v>2513080</v>
      </c>
      <c r="G69" s="28" t="n">
        <f aca="false">SUMPRODUCT(Budget_FY26!$E$18:$P$18)</f>
        <v>2750000.02</v>
      </c>
      <c r="H69" s="28" t="n">
        <f aca="false">F69-G69</f>
        <v>-236920.02</v>
      </c>
      <c r="I69" s="28" t="n">
        <f aca="false">H69</f>
        <v>-236920.02</v>
      </c>
    </row>
    <row r="70" customFormat="false" ht="15" hidden="false" customHeight="false" outlineLevel="0" collapsed="false">
      <c r="A70" s="0" t="s">
        <v>51</v>
      </c>
      <c r="B70" s="28" t="n">
        <f aca="false">SUMPRODUCT(PL!$E$16:$P$16*(Assumptions!$E$201:$P$201&lt;=Assumptions!$C$10))</f>
        <v>535313.17</v>
      </c>
      <c r="C70" s="28" t="n">
        <f aca="false">SUMPRODUCT(Budget_FY26!$E$19:$P$19*(Assumptions!$E$201:$P$201&lt;=Assumptions!$C$10))</f>
        <v>775635.76</v>
      </c>
      <c r="D70" s="28" t="n">
        <f aca="false">B70-C70</f>
        <v>-240322.59</v>
      </c>
      <c r="E70" s="28" t="n">
        <f aca="false">D70</f>
        <v>-240322.59</v>
      </c>
      <c r="F70" s="28" t="n">
        <f aca="false">SUMPRODUCT(PL!$E$16:$P$16)</f>
        <v>923294.961904762</v>
      </c>
      <c r="G70" s="28" t="n">
        <f aca="false">SUMPRODUCT(Budget_FY26!$E$19:$P$19)</f>
        <v>1220000</v>
      </c>
      <c r="H70" s="28" t="n">
        <f aca="false">F70-G70</f>
        <v>-296705.038095238</v>
      </c>
      <c r="I70" s="28" t="n">
        <f aca="false">H70</f>
        <v>-296705.038095238</v>
      </c>
    </row>
    <row r="71" customFormat="false" ht="15" hidden="false" customHeight="false" outlineLevel="0" collapsed="false">
      <c r="A71" s="87" t="s">
        <v>588</v>
      </c>
      <c r="E71" s="88" t="n">
        <f aca="false">SUM(E61:E70)</f>
        <v>-456393.48</v>
      </c>
      <c r="I71" s="88" t="n">
        <f aca="false">SUM(I61:I70)</f>
        <v>-683146.319334288</v>
      </c>
    </row>
    <row r="72" customFormat="false" ht="15" hidden="false" customHeight="false" outlineLevel="0" collapsed="false">
      <c r="A72" s="5" t="s">
        <v>589</v>
      </c>
      <c r="E72" s="35" t="n">
        <f aca="false">ROUND(E71-D15,0)</f>
        <v>0</v>
      </c>
      <c r="I72" s="35" t="n">
        <f aca="false">ROUND(I71-H15,0)</f>
        <v>0</v>
      </c>
    </row>
    <row r="73" customFormat="false" ht="30" hidden="false" customHeight="true" outlineLevel="0" collapsed="false">
      <c r="A73" s="89" t="s">
        <v>590</v>
      </c>
      <c r="B73" s="89"/>
      <c r="C73" s="89"/>
      <c r="D73" s="89"/>
      <c r="E73" s="89"/>
      <c r="F73" s="89"/>
      <c r="G73" s="89"/>
      <c r="H73" s="89"/>
      <c r="I73" s="89"/>
      <c r="J73" s="89"/>
    </row>
    <row r="75" customFormat="false" ht="15" hidden="false" customHeight="false" outlineLevel="0" collapsed="false">
      <c r="A75" s="21" t="s">
        <v>591</v>
      </c>
      <c r="B75" s="22"/>
      <c r="C75" s="22"/>
      <c r="D75" s="22"/>
      <c r="E75" s="22"/>
      <c r="F75" s="22"/>
      <c r="G75" s="22"/>
      <c r="H75" s="22"/>
      <c r="I75" s="22"/>
      <c r="J75" s="22"/>
    </row>
    <row r="76" customFormat="false" ht="15" hidden="false" customHeight="false" outlineLevel="0" collapsed="false">
      <c r="A76" s="5" t="s">
        <v>592</v>
      </c>
      <c r="B76" s="28" t="n">
        <f aca="false">C41</f>
        <v>812719.88</v>
      </c>
    </row>
    <row r="77" customFormat="false" ht="15" hidden="false" customHeight="false" outlineLevel="0" collapsed="false">
      <c r="A77" s="90" t="s">
        <v>593</v>
      </c>
      <c r="B77" s="28" t="n">
        <f aca="false">D7+D8+D9+D10</f>
        <v>-83554.48</v>
      </c>
    </row>
    <row r="78" customFormat="false" ht="15" hidden="false" customHeight="false" outlineLevel="0" collapsed="false">
      <c r="A78" s="90" t="s">
        <v>594</v>
      </c>
      <c r="B78" s="28" t="n">
        <f aca="false">D11+D12</f>
        <v>618.999999999993</v>
      </c>
    </row>
    <row r="79" customFormat="false" ht="15" hidden="false" customHeight="false" outlineLevel="0" collapsed="false">
      <c r="A79" s="90" t="s">
        <v>595</v>
      </c>
      <c r="B79" s="28" t="n">
        <f aca="false">D13</f>
        <v>-133135.41</v>
      </c>
    </row>
    <row r="80" customFormat="false" ht="15" hidden="false" customHeight="false" outlineLevel="0" collapsed="false">
      <c r="A80" s="90" t="s">
        <v>596</v>
      </c>
      <c r="B80" s="28" t="n">
        <f aca="false">D14</f>
        <v>-240322.59</v>
      </c>
    </row>
    <row r="81" customFormat="false" ht="15" hidden="false" customHeight="false" outlineLevel="0" collapsed="false">
      <c r="A81" s="90" t="s">
        <v>597</v>
      </c>
      <c r="B81" s="28" t="n">
        <f aca="false">D16</f>
        <v>90640.6699999999</v>
      </c>
    </row>
    <row r="82" customFormat="false" ht="15" hidden="false" customHeight="false" outlineLevel="0" collapsed="false">
      <c r="A82" s="90" t="s">
        <v>598</v>
      </c>
      <c r="B82" s="28" t="n">
        <f aca="false">D17</f>
        <v>7687.08000000007</v>
      </c>
    </row>
    <row r="83" customFormat="false" ht="15" hidden="false" customHeight="false" outlineLevel="0" collapsed="false">
      <c r="A83" s="90" t="s">
        <v>599</v>
      </c>
      <c r="B83" s="28" t="n">
        <f aca="false">D18+D19+D20</f>
        <v>7231.83311244616</v>
      </c>
    </row>
    <row r="84" customFormat="false" ht="15" hidden="false" customHeight="false" outlineLevel="0" collapsed="false">
      <c r="A84" s="90" t="s">
        <v>600</v>
      </c>
      <c r="B84" s="28" t="n">
        <f aca="false">D21</f>
        <v>-68060</v>
      </c>
    </row>
    <row r="85" customFormat="false" ht="15" hidden="false" customHeight="false" outlineLevel="0" collapsed="false">
      <c r="A85" s="90" t="s">
        <v>601</v>
      </c>
      <c r="B85" s="28" t="n">
        <f aca="false">D22</f>
        <v>-2507.14</v>
      </c>
    </row>
    <row r="86" customFormat="false" ht="15" hidden="false" customHeight="false" outlineLevel="0" collapsed="false">
      <c r="A86" s="90" t="s">
        <v>417</v>
      </c>
      <c r="B86" s="28" t="n">
        <f aca="false">D23</f>
        <v>82278.465</v>
      </c>
    </row>
    <row r="87" customFormat="false" ht="15" hidden="false" customHeight="false" outlineLevel="0" collapsed="false">
      <c r="A87" s="90" t="s">
        <v>418</v>
      </c>
      <c r="B87" s="28" t="n">
        <f aca="false">D24</f>
        <v>-0.0412500000093132</v>
      </c>
    </row>
    <row r="88" customFormat="false" ht="15" hidden="false" customHeight="false" outlineLevel="0" collapsed="false">
      <c r="A88" s="90" t="s">
        <v>424</v>
      </c>
      <c r="B88" s="28" t="n">
        <f aca="false">D28</f>
        <v>1154.91987499999</v>
      </c>
    </row>
    <row r="89" customFormat="false" ht="15" hidden="false" customHeight="false" outlineLevel="0" collapsed="false">
      <c r="A89" s="90" t="s">
        <v>425</v>
      </c>
      <c r="B89" s="28" t="n">
        <f aca="false">D29</f>
        <v>-0.0525000000488944</v>
      </c>
    </row>
    <row r="90" customFormat="false" ht="15" hidden="false" customHeight="false" outlineLevel="0" collapsed="false">
      <c r="A90" s="90" t="s">
        <v>75</v>
      </c>
      <c r="B90" s="28" t="n">
        <f aca="false">D30+D31+D32+D33+D34+D35+D36+D37+D38+D39</f>
        <v>3871.03000000001</v>
      </c>
    </row>
    <row r="91" customFormat="false" ht="15" hidden="false" customHeight="false" outlineLevel="0" collapsed="false">
      <c r="A91" s="5" t="s">
        <v>602</v>
      </c>
      <c r="B91" s="28" t="n">
        <f aca="false">B41</f>
        <v>478623.164237446</v>
      </c>
    </row>
    <row r="92" customFormat="false" ht="15" hidden="false" customHeight="false" outlineLevel="0" collapsed="false">
      <c r="A92" s="5" t="s">
        <v>603</v>
      </c>
      <c r="B92" s="35" t="n">
        <f aca="false">ROUND(SUM(B76:B90)-B91,0)</f>
        <v>0</v>
      </c>
    </row>
  </sheetData>
  <mergeCells count="1">
    <mergeCell ref="A73:J7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10"/>
    <col collapsed="false" customWidth="true" hidden="false" outlineLevel="0" max="7" min="3" style="0" width="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604</v>
      </c>
    </row>
    <row r="3" customFormat="false" ht="15" hidden="false" customHeight="false" outlineLevel="0" collapsed="false">
      <c r="A3" s="24" t="s">
        <v>605</v>
      </c>
    </row>
    <row r="5" customFormat="false" ht="15" hidden="false" customHeight="false" outlineLevel="0" collapsed="false">
      <c r="A5" s="0" t="s">
        <v>606</v>
      </c>
      <c r="B5" s="87" t="s">
        <v>607</v>
      </c>
    </row>
    <row r="6" customFormat="false" ht="15" hidden="false" customHeight="false" outlineLevel="0" collapsed="false">
      <c r="A6" s="0" t="s">
        <v>608</v>
      </c>
      <c r="B6" s="91" t="str">
        <f aca="false">Assumptions!$C$12</f>
        <v>Base</v>
      </c>
    </row>
    <row r="8" customFormat="false" ht="23.85" hidden="false" customHeight="false" outlineLevel="0" collapsed="false">
      <c r="A8" s="25" t="s">
        <v>609</v>
      </c>
      <c r="B8" s="26" t="s">
        <v>610</v>
      </c>
      <c r="C8" s="26" t="s">
        <v>611</v>
      </c>
      <c r="D8" s="26" t="s">
        <v>612</v>
      </c>
      <c r="E8" s="26" t="s">
        <v>613</v>
      </c>
      <c r="F8" s="26" t="s">
        <v>614</v>
      </c>
      <c r="G8" s="26" t="s">
        <v>615</v>
      </c>
    </row>
    <row r="9" customFormat="false" ht="15" hidden="false" customHeight="false" outlineLevel="0" collapsed="false">
      <c r="A9" s="0" t="s">
        <v>616</v>
      </c>
      <c r="B9" s="63" t="s">
        <v>617</v>
      </c>
      <c r="C9" s="92" t="n">
        <v>7532111.18066571</v>
      </c>
      <c r="D9" s="92" t="n">
        <v>7245282.78467414</v>
      </c>
      <c r="E9" s="92" t="n">
        <v>7707989.16068475</v>
      </c>
      <c r="F9" s="93" t="n">
        <f aca="false">PL!$C$17</f>
        <v>7532111.18066571</v>
      </c>
      <c r="G9" s="28" t="n">
        <f aca="false">ROUND(F9-INDEX(C9:E9,Assumptions!$C$11),0)</f>
        <v>0</v>
      </c>
    </row>
    <row r="10" customFormat="false" ht="15" hidden="false" customHeight="false" outlineLevel="0" collapsed="false">
      <c r="A10" s="0" t="s">
        <v>618</v>
      </c>
      <c r="B10" s="63" t="s">
        <v>617</v>
      </c>
      <c r="C10" s="92" t="n">
        <v>8204438.49545219</v>
      </c>
      <c r="D10" s="92" t="n">
        <v>6995470.37813511</v>
      </c>
      <c r="E10" s="92" t="n">
        <v>8915038.8811297</v>
      </c>
      <c r="F10" s="93" t="n">
        <f aca="false">PL!$D$17</f>
        <v>8204438.49545219</v>
      </c>
      <c r="G10" s="28" t="n">
        <f aca="false">ROUND(F10-INDEX(C10:E10,Assumptions!$C$11),0)</f>
        <v>0</v>
      </c>
    </row>
    <row r="11" customFormat="false" ht="15" hidden="false" customHeight="false" outlineLevel="0" collapsed="false">
      <c r="A11" s="0" t="s">
        <v>619</v>
      </c>
      <c r="B11" s="63" t="s">
        <v>620</v>
      </c>
      <c r="C11" s="94" t="n">
        <v>0.0892614698137069</v>
      </c>
      <c r="D11" s="94" t="n">
        <v>-0.0344793176420187</v>
      </c>
      <c r="E11" s="94" t="n">
        <v>0.156597225979716</v>
      </c>
      <c r="F11" s="95" t="n">
        <f aca="false">IF(PL!$C$17=0,0,PL!$D$17/PL!$C$17-1)</f>
        <v>0.0892614698137069</v>
      </c>
      <c r="G11" s="96" t="n">
        <f aca="false">ROUND(F11-INDEX(C11:E11,Assumptions!$C$11),4)</f>
        <v>0</v>
      </c>
    </row>
    <row r="12" customFormat="false" ht="15" hidden="false" customHeight="false" outlineLevel="0" collapsed="false">
      <c r="A12" s="0" t="s">
        <v>621</v>
      </c>
      <c r="B12" s="63" t="s">
        <v>617</v>
      </c>
      <c r="C12" s="92" t="n">
        <v>269292.493959905</v>
      </c>
      <c r="D12" s="92" t="n">
        <v>227998.214664437</v>
      </c>
      <c r="E12" s="92" t="n">
        <v>287722.503869469</v>
      </c>
      <c r="F12" s="93" t="n">
        <f aca="false">Contracts!AB163</f>
        <v>269292.493959905</v>
      </c>
      <c r="G12" s="28" t="n">
        <f aca="false">ROUND(F12-INDEX(C12:E12,Assumptions!$C$11),0)</f>
        <v>0</v>
      </c>
    </row>
    <row r="13" customFormat="false" ht="15" hidden="false" customHeight="false" outlineLevel="0" collapsed="false">
      <c r="A13" s="0" t="s">
        <v>262</v>
      </c>
      <c r="B13" s="63" t="s">
        <v>620</v>
      </c>
      <c r="C13" s="94" t="n">
        <v>1.02766411588763</v>
      </c>
      <c r="D13" s="94" t="n">
        <v>0.919736896772152</v>
      </c>
      <c r="E13" s="94" t="n">
        <v>1.06009702419102</v>
      </c>
      <c r="F13" s="95" t="n">
        <f aca="false">Contracts!$D$175</f>
        <v>1.02766411588763</v>
      </c>
      <c r="G13" s="96" t="n">
        <f aca="false">ROUND(F13-INDEX(C13:E13,Assumptions!$C$11),4)</f>
        <v>0</v>
      </c>
    </row>
    <row r="14" customFormat="false" ht="15" hidden="false" customHeight="false" outlineLevel="0" collapsed="false">
      <c r="A14" s="0" t="s">
        <v>622</v>
      </c>
      <c r="B14" s="63" t="s">
        <v>620</v>
      </c>
      <c r="C14" s="94" t="n">
        <v>0.814165979617015</v>
      </c>
      <c r="D14" s="94" t="n">
        <v>0.781219408840196</v>
      </c>
      <c r="E14" s="94" t="n">
        <v>0.853394917876637</v>
      </c>
      <c r="F14" s="95" t="n">
        <f aca="false">Service_Desk!$D$25</f>
        <v>0.814165979617015</v>
      </c>
      <c r="G14" s="96" t="n">
        <f aca="false">ROUND(F14-INDEX(C14:E14,Assumptions!$C$11),4)</f>
        <v>0</v>
      </c>
    </row>
    <row r="15" customFormat="false" ht="15" hidden="false" customHeight="false" outlineLevel="0" collapsed="false">
      <c r="A15" s="0" t="s">
        <v>623</v>
      </c>
      <c r="B15" s="63" t="s">
        <v>617</v>
      </c>
      <c r="C15" s="92" t="n">
        <v>4196.20014891111</v>
      </c>
      <c r="D15" s="92" t="n">
        <v>3362.58076675618</v>
      </c>
      <c r="E15" s="92" t="n">
        <v>21714.0796644705</v>
      </c>
      <c r="F15" s="93" t="n">
        <f aca="false">Service_Desk!$D$28</f>
        <v>4196.20014891111</v>
      </c>
      <c r="G15" s="28" t="n">
        <f aca="false">ROUND(F15-INDEX(C15:E15,Assumptions!$C$11),0)</f>
        <v>0</v>
      </c>
    </row>
    <row r="16" customFormat="false" ht="15" hidden="false" customHeight="false" outlineLevel="0" collapsed="false">
      <c r="A16" s="0" t="s">
        <v>624</v>
      </c>
      <c r="B16" s="63" t="s">
        <v>620</v>
      </c>
      <c r="C16" s="94" t="n">
        <v>0.272961191720416</v>
      </c>
      <c r="D16" s="94" t="n">
        <v>0.262550009204364</v>
      </c>
      <c r="E16" s="94" t="n">
        <v>0.278361872435184</v>
      </c>
      <c r="F16" s="95" t="n">
        <f aca="false">PL!$C$30</f>
        <v>0.272961191720416</v>
      </c>
      <c r="G16" s="96" t="n">
        <f aca="false">ROUND(F16-INDEX(C16:E16,Assumptions!$C$11),4)</f>
        <v>0</v>
      </c>
    </row>
    <row r="17" customFormat="false" ht="15" hidden="false" customHeight="false" outlineLevel="0" collapsed="false">
      <c r="A17" s="0" t="s">
        <v>625</v>
      </c>
      <c r="B17" s="63" t="s">
        <v>620</v>
      </c>
      <c r="C17" s="94" t="n">
        <v>0.284810515519122</v>
      </c>
      <c r="D17" s="94" t="n">
        <v>0.240081685246281</v>
      </c>
      <c r="E17" s="94" t="n">
        <v>0.309990467190694</v>
      </c>
      <c r="F17" s="95" t="n">
        <f aca="false">PL!$D$30</f>
        <v>0.284810515519122</v>
      </c>
      <c r="G17" s="96" t="n">
        <f aca="false">ROUND(F17-INDEX(C17:E17,Assumptions!$C$11),4)</f>
        <v>0</v>
      </c>
    </row>
    <row r="18" customFormat="false" ht="15" hidden="false" customHeight="false" outlineLevel="0" collapsed="false">
      <c r="A18" s="0" t="s">
        <v>626</v>
      </c>
      <c r="B18" s="63" t="s">
        <v>617</v>
      </c>
      <c r="C18" s="92" t="n">
        <v>863221.588575057</v>
      </c>
      <c r="D18" s="92" t="n">
        <v>715709.230344905</v>
      </c>
      <c r="E18" s="92" t="n">
        <v>951583.790565819</v>
      </c>
      <c r="F18" s="93" t="n">
        <f aca="false">PL!$C$45</f>
        <v>863221.588575057</v>
      </c>
      <c r="G18" s="28" t="n">
        <f aca="false">ROUND(F18-INDEX(C18:E18,Assumptions!$C$11),0)</f>
        <v>0</v>
      </c>
    </row>
    <row r="19" customFormat="false" ht="15" hidden="false" customHeight="false" outlineLevel="0" collapsed="false">
      <c r="A19" s="0" t="s">
        <v>627</v>
      </c>
      <c r="B19" s="63" t="s">
        <v>617</v>
      </c>
      <c r="C19" s="92" t="n">
        <v>1058621.24719106</v>
      </c>
      <c r="D19" s="92" t="n">
        <v>443381.65148515</v>
      </c>
      <c r="E19" s="92" t="n">
        <v>1478356.99078635</v>
      </c>
      <c r="F19" s="93" t="n">
        <f aca="false">PL!$D$45</f>
        <v>1058621.24719106</v>
      </c>
      <c r="G19" s="28" t="n">
        <f aca="false">ROUND(F19-INDEX(C19:E19,Assumptions!$C$11),0)</f>
        <v>-0</v>
      </c>
    </row>
    <row r="20" customFormat="false" ht="15" hidden="false" customHeight="false" outlineLevel="0" collapsed="false">
      <c r="A20" s="0" t="s">
        <v>628</v>
      </c>
      <c r="B20" s="63" t="s">
        <v>617</v>
      </c>
      <c r="C20" s="92" t="n">
        <v>724774.183212173</v>
      </c>
      <c r="D20" s="92" t="n">
        <v>228351.673156789</v>
      </c>
      <c r="E20" s="92" t="n">
        <v>1064680.66530407</v>
      </c>
      <c r="F20" s="93" t="n">
        <f aca="false">PL!$D$54</f>
        <v>724774.183212173</v>
      </c>
      <c r="G20" s="28" t="n">
        <f aca="false">ROUND(F20-INDEX(C20:E20,Assumptions!$C$11),0)</f>
        <v>0</v>
      </c>
    </row>
    <row r="21" customFormat="false" ht="15" hidden="false" customHeight="false" outlineLevel="0" collapsed="false">
      <c r="A21" s="0" t="s">
        <v>629</v>
      </c>
      <c r="B21" s="63" t="s">
        <v>617</v>
      </c>
      <c r="C21" s="92" t="n">
        <v>337759.929235847</v>
      </c>
      <c r="D21" s="92" t="n">
        <v>95834.6950733694</v>
      </c>
      <c r="E21" s="92" t="n">
        <v>545763.122297345</v>
      </c>
      <c r="F21" s="93" t="n">
        <f aca="false">Margins!$D$33</f>
        <v>337759.929235847</v>
      </c>
      <c r="G21" s="28" t="n">
        <f aca="false">ROUND(F21-INDEX(C21:E21,Assumptions!$C$11),0)</f>
        <v>0</v>
      </c>
    </row>
    <row r="22" customFormat="false" ht="15" hidden="false" customHeight="false" outlineLevel="0" collapsed="false">
      <c r="A22" s="0" t="s">
        <v>630</v>
      </c>
      <c r="B22" s="63" t="s">
        <v>617</v>
      </c>
      <c r="C22" s="92" t="n">
        <v>704225.523172196</v>
      </c>
      <c r="D22" s="92" t="n">
        <v>221531.993827595</v>
      </c>
      <c r="E22" s="92" t="n">
        <v>745697.621184048</v>
      </c>
      <c r="F22" s="93" t="n">
        <f aca="false">BS!$C$9</f>
        <v>704225.523172196</v>
      </c>
      <c r="G22" s="28" t="n">
        <f aca="false">ROUND(F22-INDEX(C22:E22,Assumptions!$C$11),0)</f>
        <v>0</v>
      </c>
    </row>
    <row r="23" customFormat="false" ht="15" hidden="false" customHeight="false" outlineLevel="0" collapsed="false">
      <c r="A23" s="0" t="s">
        <v>631</v>
      </c>
      <c r="B23" s="63" t="s">
        <v>617</v>
      </c>
      <c r="C23" s="92" t="n">
        <v>1204217.46963487</v>
      </c>
      <c r="D23" s="92" t="n">
        <v>236172.20476341</v>
      </c>
      <c r="E23" s="92" t="n">
        <v>1330212.15014815</v>
      </c>
      <c r="F23" s="93" t="n">
        <f aca="false">BS!$D$9</f>
        <v>1204217.46963487</v>
      </c>
      <c r="G23" s="28" t="n">
        <f aca="false">ROUND(F23-INDEX(C23:E23,Assumptions!$C$11),0)</f>
        <v>-0</v>
      </c>
    </row>
    <row r="24" customFormat="false" ht="15" hidden="false" customHeight="false" outlineLevel="0" collapsed="false">
      <c r="A24" s="0" t="s">
        <v>632</v>
      </c>
      <c r="B24" s="63" t="s">
        <v>617</v>
      </c>
      <c r="C24" s="92" t="n">
        <v>689023.011464358</v>
      </c>
      <c r="D24" s="92" t="n">
        <v>208464.75859823</v>
      </c>
      <c r="E24" s="92" t="n">
        <v>696587.102631922</v>
      </c>
      <c r="F24" s="93" t="n">
        <f aca="false">MIN(BS!M9:AB9)</f>
        <v>689023.011464358</v>
      </c>
      <c r="G24" s="28" t="n">
        <f aca="false">ROUND(F24-INDEX(C24:E24,Assumptions!$C$11),0)</f>
        <v>0</v>
      </c>
    </row>
    <row r="25" customFormat="false" ht="15" hidden="false" customHeight="false" outlineLevel="0" collapsed="false">
      <c r="A25" s="0" t="s">
        <v>633</v>
      </c>
      <c r="B25" s="63" t="s">
        <v>634</v>
      </c>
      <c r="C25" s="97" t="n">
        <v>46356</v>
      </c>
      <c r="D25" s="97" t="n">
        <v>46446</v>
      </c>
      <c r="E25" s="97" t="n">
        <v>46356</v>
      </c>
      <c r="F25" s="98" t="n">
        <f aca="false">INDEX(Assumptions!M$200:AB$200,MATCH(F24,BS!M9:AB9,0))</f>
        <v>46356</v>
      </c>
      <c r="G25" s="28" t="n">
        <f aca="false">IF(F25=INDEX(C25:E25,Assumptions!$C$11),0,1)</f>
        <v>0</v>
      </c>
    </row>
    <row r="26" customFormat="false" ht="15" hidden="false" customHeight="false" outlineLevel="0" collapsed="false">
      <c r="A26" s="0" t="s">
        <v>635</v>
      </c>
      <c r="B26" s="63" t="s">
        <v>617</v>
      </c>
      <c r="C26" s="92" t="n">
        <v>289023.011464358</v>
      </c>
      <c r="D26" s="92" t="n">
        <v>-191535.24140177</v>
      </c>
      <c r="E26" s="92" t="n">
        <v>296587.102631922</v>
      </c>
      <c r="F26" s="93" t="n">
        <f aca="false">F24-Assumptions!$C$13</f>
        <v>289023.011464358</v>
      </c>
      <c r="G26" s="28" t="n">
        <f aca="false">ROUND(F26-INDEX(C26:E26,Assumptions!$C$11),0)</f>
        <v>0</v>
      </c>
    </row>
    <row r="27" customFormat="false" ht="15" hidden="false" customHeight="false" outlineLevel="0" collapsed="false">
      <c r="A27" s="0" t="s">
        <v>636</v>
      </c>
      <c r="B27" s="63" t="s">
        <v>637</v>
      </c>
      <c r="C27" s="99" t="n">
        <v>0.226795204636823</v>
      </c>
      <c r="D27" s="99" t="n">
        <v>0.947966041803662</v>
      </c>
      <c r="E27" s="99" t="n">
        <v>0.162153265267583</v>
      </c>
      <c r="F27" s="100" t="n">
        <f aca="false">Financing!P16</f>
        <v>0.226795204636823</v>
      </c>
      <c r="G27" s="96" t="n">
        <f aca="false">ROUND(F27-INDEX(C27:E27,Assumptions!$C$11),4)</f>
        <v>0</v>
      </c>
    </row>
    <row r="28" customFormat="false" ht="15" hidden="false" customHeight="false" outlineLevel="0" collapsed="false">
      <c r="A28" s="0" t="s">
        <v>638</v>
      </c>
      <c r="B28" s="63" t="s">
        <v>637</v>
      </c>
      <c r="C28" s="99" t="n">
        <v>1.08826848164651</v>
      </c>
      <c r="D28" s="99" t="n">
        <v>0.765255137769394</v>
      </c>
      <c r="E28" s="99" t="n">
        <v>1.28645386934997</v>
      </c>
      <c r="F28" s="100" t="n">
        <f aca="false">Financing!P20</f>
        <v>1.08826848164651</v>
      </c>
      <c r="G28" s="96" t="n">
        <f aca="false">ROUND(F28-INDEX(C28:E28,Assumptions!$C$11),4)</f>
        <v>0</v>
      </c>
    </row>
    <row r="29" customFormat="false" ht="15" hidden="false" customHeight="false" outlineLevel="0" collapsed="false">
      <c r="A29" s="0" t="s">
        <v>639</v>
      </c>
      <c r="B29" s="63" t="s">
        <v>637</v>
      </c>
      <c r="C29" s="99" t="n">
        <v>2.23110804540934</v>
      </c>
      <c r="D29" s="99" t="n">
        <v>0.961659012720222</v>
      </c>
      <c r="E29" s="99" t="n">
        <v>3.13251256050842</v>
      </c>
      <c r="F29" s="100" t="n">
        <f aca="false">Financing!AB20</f>
        <v>2.23110804540934</v>
      </c>
      <c r="G29" s="96" t="n">
        <f aca="false">ROUND(F29-INDEX(C29:E29,Assumptions!$C$11),4)</f>
        <v>0</v>
      </c>
    </row>
    <row r="30" customFormat="false" ht="15" hidden="false" customHeight="false" outlineLevel="0" collapsed="false">
      <c r="A30" s="0" t="s">
        <v>640</v>
      </c>
      <c r="B30" s="63" t="s">
        <v>617</v>
      </c>
      <c r="C30" s="92" t="n">
        <v>0</v>
      </c>
      <c r="D30" s="92" t="n">
        <v>0</v>
      </c>
      <c r="E30" s="92" t="n">
        <v>201879.2838862</v>
      </c>
      <c r="F30" s="93" t="n">
        <f aca="false">Financing!$D$27</f>
        <v>0</v>
      </c>
      <c r="G30" s="28" t="n">
        <f aca="false">ROUND(F30-INDEX(C30:E30,Assumptions!$C$11),0)</f>
        <v>0</v>
      </c>
    </row>
    <row r="31" customFormat="false" ht="15" hidden="false" customHeight="false" outlineLevel="0" collapsed="false">
      <c r="A31" s="0" t="s">
        <v>641</v>
      </c>
      <c r="B31" s="63" t="s">
        <v>642</v>
      </c>
      <c r="C31" s="101" t="n">
        <v>78.3689970117048</v>
      </c>
      <c r="D31" s="101" t="n">
        <v>73.6892054840838</v>
      </c>
      <c r="E31" s="101" t="n">
        <v>78.3689970117048</v>
      </c>
      <c r="F31" s="102" t="n">
        <f aca="false">People!$D$26</f>
        <v>78.3689970117048</v>
      </c>
      <c r="G31" s="96" t="n">
        <f aca="false">ROUND(F31-INDEX(C31:E31,Assumptions!$C$11),4)</f>
        <v>0</v>
      </c>
    </row>
    <row r="33" customFormat="false" ht="15" hidden="false" customHeight="false" outlineLevel="0" collapsed="false">
      <c r="A33" s="5" t="s">
        <v>643</v>
      </c>
      <c r="G33" s="87" t="n">
        <f aca="false">SUMPRODUCT(ABS(G9:G32))</f>
        <v>0</v>
      </c>
    </row>
    <row r="35" customFormat="false" ht="15" hidden="false" customHeight="false" outlineLevel="0" collapsed="false">
      <c r="A35" s="21" t="s">
        <v>644</v>
      </c>
      <c r="B35" s="22"/>
      <c r="C35" s="22"/>
      <c r="D35" s="22"/>
      <c r="E35" s="22"/>
      <c r="F35" s="22"/>
      <c r="G35" s="22"/>
    </row>
    <row r="36" customFormat="false" ht="15" hidden="false" customHeight="false" outlineLevel="0" collapsed="false">
      <c r="A36" s="0" t="str">
        <f aca="false">Assumptions!A178</f>
        <v>Users and devices: growth (x contract rates on the register)</v>
      </c>
      <c r="B36" s="63" t="str">
        <f aca="false">Assumptions!B178</f>
        <v>x</v>
      </c>
      <c r="C36" s="103" t="n">
        <f aca="false">Assumptions!C178</f>
        <v>1</v>
      </c>
      <c r="D36" s="103" t="n">
        <f aca="false">Assumptions!D178</f>
        <v>0.5</v>
      </c>
      <c r="E36" s="103" t="n">
        <f aca="false">Assumptions!E178</f>
        <v>1.3</v>
      </c>
      <c r="F36" s="104" t="n">
        <f aca="false">Assumptions!F178</f>
        <v>1</v>
      </c>
    </row>
    <row r="37" customFormat="false" ht="15" hidden="false" customHeight="false" outlineLevel="0" collapsed="false">
      <c r="A37" s="0" t="str">
        <f aca="false">Assumptions!A179</f>
        <v>Price review at anniversaries from Sep-26</v>
      </c>
      <c r="B37" s="63" t="str">
        <f aca="false">Assumptions!B179</f>
        <v>rate</v>
      </c>
      <c r="C37" s="64" t="n">
        <f aca="false">Assumptions!C179</f>
        <v>0.03</v>
      </c>
      <c r="D37" s="64" t="n">
        <f aca="false">Assumptions!D179</f>
        <v>0.015</v>
      </c>
      <c r="E37" s="64" t="n">
        <f aca="false">Assumptions!E179</f>
        <v>0.035</v>
      </c>
      <c r="F37" s="95" t="n">
        <f aca="false">Assumptions!F179</f>
        <v>0.03</v>
      </c>
    </row>
    <row r="38" customFormat="false" ht="15" hidden="false" customHeight="false" outlineLevel="0" collapsed="false">
      <c r="A38" s="0" t="str">
        <f aca="false">Assumptions!A180</f>
        <v>Price change at the 36-month renewal</v>
      </c>
      <c r="B38" s="63" t="str">
        <f aca="false">Assumptions!B180</f>
        <v>rate</v>
      </c>
      <c r="C38" s="64" t="n">
        <f aca="false">Assumptions!C180</f>
        <v>0</v>
      </c>
      <c r="D38" s="64" t="n">
        <f aca="false">Assumptions!D180</f>
        <v>-0.05</v>
      </c>
      <c r="E38" s="64" t="n">
        <f aca="false">Assumptions!E180</f>
        <v>0.02</v>
      </c>
      <c r="F38" s="95" t="n">
        <f aca="false">Assumptions!F180</f>
        <v>0</v>
      </c>
    </row>
    <row r="39" customFormat="false" ht="15" hidden="false" customHeight="false" outlineLevel="0" collapsed="false">
      <c r="A39" s="0" t="str">
        <f aca="false">Assumptions!A181</f>
        <v>Pipeline contracts: start delay</v>
      </c>
      <c r="B39" s="63" t="str">
        <f aca="false">Assumptions!B181</f>
        <v>months</v>
      </c>
      <c r="C39" s="69" t="n">
        <f aca="false">Assumptions!C181</f>
        <v>0</v>
      </c>
      <c r="D39" s="69" t="n">
        <f aca="false">Assumptions!D181</f>
        <v>2</v>
      </c>
      <c r="E39" s="69" t="n">
        <f aca="false">Assumptions!E181</f>
        <v>0</v>
      </c>
      <c r="F39" s="105" t="n">
        <f aca="false">Assumptions!F181</f>
        <v>0</v>
      </c>
    </row>
    <row r="40" customFormat="false" ht="15" hidden="false" customHeight="false" outlineLevel="0" collapsed="false">
      <c r="A40" s="0" t="str">
        <f aca="false">Assumptions!A182</f>
        <v>Hardware demand (x run-rate)</v>
      </c>
      <c r="B40" s="63" t="str">
        <f aca="false">Assumptions!B182</f>
        <v>x</v>
      </c>
      <c r="C40" s="103" t="n">
        <f aca="false">Assumptions!C182</f>
        <v>1</v>
      </c>
      <c r="D40" s="103" t="n">
        <f aca="false">Assumptions!D182</f>
        <v>0.85</v>
      </c>
      <c r="E40" s="103" t="n">
        <f aca="false">Assumptions!E182</f>
        <v>1.1</v>
      </c>
      <c r="F40" s="104" t="n">
        <f aca="false">Assumptions!F182</f>
        <v>1</v>
      </c>
    </row>
    <row r="41" customFormat="false" ht="15" hidden="false" customHeight="false" outlineLevel="0" collapsed="false">
      <c r="A41" s="0" t="str">
        <f aca="false">Assumptions!A183</f>
        <v>Hardware margin before rebates</v>
      </c>
      <c r="B41" s="63" t="str">
        <f aca="false">Assumptions!B183</f>
        <v>share</v>
      </c>
      <c r="C41" s="64" t="n">
        <f aca="false">Assumptions!C183</f>
        <v>0.128</v>
      </c>
      <c r="D41" s="64" t="n">
        <f aca="false">Assumptions!D183</f>
        <v>0.115</v>
      </c>
      <c r="E41" s="64" t="n">
        <f aca="false">Assumptions!E183</f>
        <v>0.133</v>
      </c>
      <c r="F41" s="95" t="n">
        <f aca="false">Assumptions!F183</f>
        <v>0.128</v>
      </c>
    </row>
    <row r="42" customFormat="false" ht="15" hidden="false" customHeight="false" outlineLevel="0" collapsed="false">
      <c r="A42" s="0" t="str">
        <f aca="false">Assumptions!A184</f>
        <v>Annual licence billings: change on the same month a year earlier</v>
      </c>
      <c r="B42" s="63" t="str">
        <f aca="false">Assumptions!B184</f>
        <v>rate</v>
      </c>
      <c r="C42" s="64" t="n">
        <f aca="false">Assumptions!C184</f>
        <v>0.04</v>
      </c>
      <c r="D42" s="64" t="n">
        <f aca="false">Assumptions!D184</f>
        <v>0</v>
      </c>
      <c r="E42" s="64" t="n">
        <f aca="false">Assumptions!E184</f>
        <v>0.06</v>
      </c>
      <c r="F42" s="95" t="n">
        <f aca="false">Assumptions!F184</f>
        <v>0.04</v>
      </c>
    </row>
    <row r="43" customFormat="false" ht="15" hidden="false" customHeight="false" outlineLevel="0" collapsed="false">
      <c r="A43" s="0" t="str">
        <f aca="false">Assumptions!A185</f>
        <v>Licences resold as agent (x run-rate)</v>
      </c>
      <c r="B43" s="63" t="str">
        <f aca="false">Assumptions!B185</f>
        <v>x</v>
      </c>
      <c r="C43" s="103" t="n">
        <f aca="false">Assumptions!C185</f>
        <v>1</v>
      </c>
      <c r="D43" s="103" t="n">
        <f aca="false">Assumptions!D185</f>
        <v>0.85</v>
      </c>
      <c r="E43" s="103" t="n">
        <f aca="false">Assumptions!E185</f>
        <v>1.1</v>
      </c>
      <c r="F43" s="104" t="n">
        <f aca="false">Assumptions!F185</f>
        <v>1</v>
      </c>
    </row>
    <row r="44" customFormat="false" ht="15" hidden="false" customHeight="false" outlineLevel="0" collapsed="false">
      <c r="A44" s="0" t="str">
        <f aca="false">Assumptions!A186</f>
        <v>Project revenue run-rate a month: signed projects topped up with work not yet identified (from Oct-26)</v>
      </c>
      <c r="B44" s="63" t="str">
        <f aca="false">Assumptions!B186</f>
        <v>EUR</v>
      </c>
      <c r="C44" s="67" t="n">
        <f aca="false">Assumptions!C186</f>
        <v>90000</v>
      </c>
      <c r="D44" s="67" t="n">
        <f aca="false">Assumptions!D186</f>
        <v>65000</v>
      </c>
      <c r="E44" s="67" t="n">
        <f aca="false">Assumptions!E186</f>
        <v>110000</v>
      </c>
      <c r="F44" s="93" t="n">
        <f aca="false">Assumptions!F186</f>
        <v>90000</v>
      </c>
    </row>
    <row r="45" customFormat="false" ht="15" hidden="false" customHeight="false" outlineLevel="0" collapsed="false">
      <c r="A45" s="0" t="str">
        <f aca="false">Assumptions!A187</f>
        <v>J01: extra hours to complete (share of the remaining estimate)</v>
      </c>
      <c r="B45" s="63" t="str">
        <f aca="false">Assumptions!B187</f>
        <v>share</v>
      </c>
      <c r="C45" s="64" t="n">
        <f aca="false">Assumptions!C187</f>
        <v>0</v>
      </c>
      <c r="D45" s="64" t="n">
        <f aca="false">Assumptions!D187</f>
        <v>0.2</v>
      </c>
      <c r="E45" s="64" t="n">
        <f aca="false">Assumptions!E187</f>
        <v>0</v>
      </c>
      <c r="F45" s="95" t="n">
        <f aca="false">Assumptions!F187</f>
        <v>0</v>
      </c>
    </row>
    <row r="46" customFormat="false" ht="15" hidden="false" customHeight="false" outlineLevel="0" collapsed="false">
      <c r="A46" s="0" t="str">
        <f aca="false">Assumptions!A188</f>
        <v>Planned hires made (share of the hiring plan on People)</v>
      </c>
      <c r="B46" s="63" t="str">
        <f aca="false">Assumptions!B188</f>
        <v>share</v>
      </c>
      <c r="C46" s="64" t="n">
        <f aca="false">Assumptions!C188</f>
        <v>1</v>
      </c>
      <c r="D46" s="64" t="n">
        <f aca="false">Assumptions!D188</f>
        <v>0.75</v>
      </c>
      <c r="E46" s="64" t="n">
        <f aca="false">Assumptions!E188</f>
        <v>1</v>
      </c>
      <c r="F46" s="95" t="n">
        <f aca="false">Assumptions!F188</f>
        <v>1</v>
      </c>
    </row>
    <row r="47" customFormat="false" ht="15" hidden="false" customHeight="false" outlineLevel="0" collapsed="false">
      <c r="A47" s="0" t="str">
        <f aca="false">Assumptions!A189</f>
        <v>Leavers replaced (share)</v>
      </c>
      <c r="B47" s="63" t="str">
        <f aca="false">Assumptions!B189</f>
        <v>share</v>
      </c>
      <c r="C47" s="64" t="n">
        <f aca="false">Assumptions!C189</f>
        <v>1</v>
      </c>
      <c r="D47" s="64" t="n">
        <f aca="false">Assumptions!D189</f>
        <v>0.75</v>
      </c>
      <c r="E47" s="64" t="n">
        <f aca="false">Assumptions!E189</f>
        <v>1</v>
      </c>
      <c r="F47" s="95" t="n">
        <f aca="false">Assumptions!F189</f>
        <v>1</v>
      </c>
    </row>
    <row r="48" customFormat="false" ht="15" hidden="false" customHeight="false" outlineLevel="0" collapsed="false">
      <c r="A48" s="0" t="str">
        <f aca="false">Assumptions!A190</f>
        <v>Attrition (x base rates)</v>
      </c>
      <c r="B48" s="63" t="str">
        <f aca="false">Assumptions!B190</f>
        <v>x</v>
      </c>
      <c r="C48" s="103" t="n">
        <f aca="false">Assumptions!C190</f>
        <v>1</v>
      </c>
      <c r="D48" s="103" t="n">
        <f aca="false">Assumptions!D190</f>
        <v>0.8</v>
      </c>
      <c r="E48" s="103" t="n">
        <f aca="false">Assumptions!E190</f>
        <v>1</v>
      </c>
      <c r="F48" s="104" t="n">
        <f aca="false">Assumptions!F190</f>
        <v>1</v>
      </c>
    </row>
    <row r="49" customFormat="false" ht="15" hidden="false" customHeight="false" outlineLevel="0" collapsed="false">
      <c r="A49" s="0" t="str">
        <f aca="false">Assumptions!A191</f>
        <v>Pay review January 2027</v>
      </c>
      <c r="B49" s="63" t="str">
        <f aca="false">Assumptions!B191</f>
        <v>rate</v>
      </c>
      <c r="C49" s="64" t="n">
        <f aca="false">Assumptions!C191</f>
        <v>0.03</v>
      </c>
      <c r="D49" s="64" t="n">
        <f aca="false">Assumptions!D191</f>
        <v>0.02</v>
      </c>
      <c r="E49" s="64" t="n">
        <f aca="false">Assumptions!E191</f>
        <v>0.035</v>
      </c>
      <c r="F49" s="95" t="n">
        <f aca="false">Assumptions!F191</f>
        <v>0.03</v>
      </c>
    </row>
    <row r="50" customFormat="false" ht="15" hidden="false" customHeight="false" outlineLevel="0" collapsed="false">
      <c r="A50" s="0" t="str">
        <f aca="false">Assumptions!A192</f>
        <v>Extra days to collect from customers</v>
      </c>
      <c r="B50" s="63" t="str">
        <f aca="false">Assumptions!B192</f>
        <v>days</v>
      </c>
      <c r="C50" s="69" t="n">
        <f aca="false">Assumptions!C192</f>
        <v>0</v>
      </c>
      <c r="D50" s="69" t="n">
        <f aca="false">Assumptions!D192</f>
        <v>15</v>
      </c>
      <c r="E50" s="69" t="n">
        <f aca="false">Assumptions!E192</f>
        <v>0</v>
      </c>
      <c r="F50" s="105" t="n">
        <f aca="false">Assumptions!F192</f>
        <v>0</v>
      </c>
    </row>
    <row r="51" customFormat="false" ht="15" hidden="false" customHeight="false" outlineLevel="0" collapsed="false">
      <c r="A51" s="0" t="str">
        <f aca="false">Assumptions!A193</f>
        <v>Euribor 3M from Sep-26</v>
      </c>
      <c r="B51" s="63" t="str">
        <f aca="false">Assumptions!B193</f>
        <v>rate</v>
      </c>
      <c r="C51" s="73" t="n">
        <f aca="false">Assumptions!C193</f>
        <v>0.0275</v>
      </c>
      <c r="D51" s="73" t="n">
        <f aca="false">Assumptions!D193</f>
        <v>0.0325</v>
      </c>
      <c r="E51" s="73" t="n">
        <f aca="false">Assumptions!E193</f>
        <v>0.024</v>
      </c>
      <c r="F51" s="106" t="n">
        <f aca="false">Assumptions!F193</f>
        <v>0.0275</v>
      </c>
    </row>
    <row r="52" customFormat="false" ht="15" hidden="false" customHeight="false" outlineLevel="0" collapsed="false">
      <c r="A52" s="0" t="str">
        <f aca="false">Assumptions!A194</f>
        <v>USD per EUR, forecast</v>
      </c>
      <c r="B52" s="63" t="str">
        <f aca="false">Assumptions!B194</f>
        <v>rate</v>
      </c>
      <c r="C52" s="107" t="n">
        <f aca="false">Assumptions!C194</f>
        <v>1.1463</v>
      </c>
      <c r="D52" s="107" t="n">
        <f aca="false">Assumptions!D194</f>
        <v>1.08</v>
      </c>
      <c r="E52" s="107" t="n">
        <f aca="false">Assumptions!E194</f>
        <v>1.18</v>
      </c>
      <c r="F52" s="108" t="n">
        <f aca="false">Assumptions!F194</f>
        <v>1.1463</v>
      </c>
    </row>
    <row r="53" customFormat="false" ht="15" hidden="false" customHeight="false" outlineLevel="0" collapsed="false">
      <c r="A53" s="0" t="str">
        <f aca="false">Assumptions!A195</f>
        <v>Dividend on FY2026 profit, paid May 2027 (share of net profit)</v>
      </c>
      <c r="B53" s="63" t="str">
        <f aca="false">Assumptions!B195</f>
        <v>share</v>
      </c>
      <c r="C53" s="64" t="n">
        <f aca="false">Assumptions!C195</f>
        <v>0.4</v>
      </c>
      <c r="D53" s="64" t="n">
        <f aca="false">Assumptions!D195</f>
        <v>0</v>
      </c>
      <c r="E53" s="64" t="n">
        <f aca="false">Assumptions!E195</f>
        <v>0.45</v>
      </c>
      <c r="F53" s="95" t="n">
        <f aca="false">Assumptions!F195</f>
        <v>0.4</v>
      </c>
    </row>
    <row r="54" customFormat="false" ht="15" hidden="false" customHeight="false" outlineLevel="0" collapsed="false">
      <c r="A54" s="0" t="str">
        <f aca="false">Assumptions!A196</f>
        <v>Disputed J11 milestone: month collected</v>
      </c>
      <c r="B54" s="63" t="str">
        <f aca="false">Assumptions!B196</f>
        <v>month</v>
      </c>
      <c r="C54" s="109" t="n">
        <f aca="false">Assumptions!C196</f>
        <v>46326</v>
      </c>
      <c r="D54" s="109" t="n">
        <f aca="false">Assumptions!D196</f>
        <v>46387</v>
      </c>
      <c r="E54" s="109" t="n">
        <f aca="false">Assumptions!E196</f>
        <v>46326</v>
      </c>
      <c r="F54" s="98" t="n">
        <f aca="false">Assumptions!F196</f>
        <v>46326</v>
      </c>
    </row>
    <row r="55" customFormat="false" ht="15" hidden="false" customHeight="false" outlineLevel="0" collapsed="false">
      <c r="A55" s="0" t="str">
        <f aca="false">Assumptions!A197</f>
        <v>Disputed J11 milestone: share credited</v>
      </c>
      <c r="B55" s="63" t="str">
        <f aca="false">Assumptions!B197</f>
        <v>share</v>
      </c>
      <c r="C55" s="64" t="n">
        <f aca="false">Assumptions!C197</f>
        <v>0</v>
      </c>
      <c r="D55" s="64" t="n">
        <f aca="false">Assumptions!D197</f>
        <v>0.25</v>
      </c>
      <c r="E55" s="64" t="n">
        <f aca="false">Assumptions!E197</f>
        <v>0</v>
      </c>
      <c r="F55" s="95" t="n">
        <f aca="false">Assumptions!F197</f>
        <v>0</v>
      </c>
    </row>
    <row r="57" customFormat="false" ht="15" hidden="false" customHeight="false" outlineLevel="0" collapsed="false">
      <c r="A57" s="24" t="s">
        <v>645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97"/>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1" outlineLevelCol="0"/>
  <cols>
    <col collapsed="false" customWidth="true" hidden="false" outlineLevel="0" max="1" min="1" style="0" width="66"/>
    <col collapsed="false" customWidth="true" hidden="false" outlineLevel="0" max="2" min="2" style="0" width="18"/>
    <col collapsed="false" customWidth="true" hidden="false" outlineLevel="0" max="7" min="3" style="0" width="13"/>
    <col collapsed="false" customWidth="true" hidden="false" outlineLevel="0" max="23" min="8" style="0" width="12"/>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646</v>
      </c>
    </row>
    <row r="3" customFormat="false" ht="15" hidden="false" customHeight="false" outlineLevel="0" collapsed="false">
      <c r="A3" s="24" t="s">
        <v>647</v>
      </c>
    </row>
    <row r="5" customFormat="false" ht="54" hidden="false" customHeight="true" outlineLevel="0" collapsed="false">
      <c r="A5" s="25" t="s">
        <v>345</v>
      </c>
      <c r="B5" s="26" t="s">
        <v>648</v>
      </c>
      <c r="C5" s="26" t="s">
        <v>649</v>
      </c>
      <c r="D5" s="26" t="s">
        <v>650</v>
      </c>
      <c r="E5" s="26" t="s">
        <v>651</v>
      </c>
      <c r="F5" s="26" t="s">
        <v>652</v>
      </c>
      <c r="G5" s="26" t="s">
        <v>653</v>
      </c>
      <c r="H5" s="26" t="s">
        <v>654</v>
      </c>
      <c r="I5" s="26" t="s">
        <v>655</v>
      </c>
      <c r="J5" s="26" t="s">
        <v>656</v>
      </c>
      <c r="K5" s="26" t="s">
        <v>657</v>
      </c>
      <c r="L5" s="26" t="s">
        <v>658</v>
      </c>
      <c r="M5" s="26" t="s">
        <v>659</v>
      </c>
      <c r="N5" s="26" t="s">
        <v>660</v>
      </c>
      <c r="O5" s="26" t="s">
        <v>661</v>
      </c>
      <c r="P5" s="26" t="s">
        <v>662</v>
      </c>
      <c r="Q5" s="26" t="s">
        <v>663</v>
      </c>
      <c r="R5" s="26" t="s">
        <v>664</v>
      </c>
      <c r="S5" s="26" t="s">
        <v>665</v>
      </c>
      <c r="T5" s="26" t="s">
        <v>666</v>
      </c>
      <c r="U5" s="26" t="s">
        <v>667</v>
      </c>
      <c r="V5" s="26" t="s">
        <v>668</v>
      </c>
      <c r="W5" s="26" t="s">
        <v>669</v>
      </c>
    </row>
    <row r="6" customFormat="false" ht="15" hidden="false" customHeight="false" outlineLevel="0" collapsed="false">
      <c r="A6" s="0" t="s">
        <v>670</v>
      </c>
      <c r="H6" s="110" t="n">
        <v>46283</v>
      </c>
      <c r="I6" s="111" t="n">
        <f aca="false">H6+7</f>
        <v>46290</v>
      </c>
      <c r="J6" s="111" t="n">
        <f aca="false">I6+7</f>
        <v>46297</v>
      </c>
      <c r="K6" s="111" t="n">
        <f aca="false">J6+7</f>
        <v>46304</v>
      </c>
      <c r="L6" s="111" t="n">
        <f aca="false">K6+7</f>
        <v>46311</v>
      </c>
      <c r="M6" s="111" t="n">
        <f aca="false">L6+7</f>
        <v>46318</v>
      </c>
      <c r="N6" s="111" t="n">
        <f aca="false">M6+7</f>
        <v>46325</v>
      </c>
      <c r="O6" s="111" t="n">
        <f aca="false">N6+7</f>
        <v>46332</v>
      </c>
      <c r="P6" s="111" t="n">
        <f aca="false">O6+7</f>
        <v>46339</v>
      </c>
      <c r="Q6" s="111" t="n">
        <f aca="false">P6+7</f>
        <v>46346</v>
      </c>
      <c r="R6" s="111" t="n">
        <f aca="false">Q6+7</f>
        <v>46353</v>
      </c>
      <c r="S6" s="111" t="n">
        <f aca="false">R6+7</f>
        <v>46360</v>
      </c>
      <c r="T6" s="111" t="n">
        <f aca="false">S6+7</f>
        <v>46367</v>
      </c>
    </row>
    <row r="7" customFormat="false" ht="15" hidden="false" customHeight="false" outlineLevel="0" collapsed="false">
      <c r="A7" s="0" t="s">
        <v>671</v>
      </c>
      <c r="B7" s="63" t="s">
        <v>672</v>
      </c>
      <c r="C7" s="112" t="n">
        <v>46276</v>
      </c>
      <c r="H7" s="112" t="n">
        <f aca="false">H6-6</f>
        <v>46277</v>
      </c>
      <c r="I7" s="112" t="n">
        <f aca="false">I6-6</f>
        <v>46284</v>
      </c>
      <c r="J7" s="112" t="n">
        <f aca="false">J6-6</f>
        <v>46291</v>
      </c>
      <c r="K7" s="112" t="n">
        <f aca="false">K6-6</f>
        <v>46298</v>
      </c>
      <c r="L7" s="112" t="n">
        <f aca="false">L6-6</f>
        <v>46305</v>
      </c>
      <c r="M7" s="112" t="n">
        <f aca="false">M6-6</f>
        <v>46312</v>
      </c>
      <c r="N7" s="112" t="n">
        <f aca="false">N6-6</f>
        <v>46319</v>
      </c>
      <c r="O7" s="112" t="n">
        <f aca="false">O6-6</f>
        <v>46326</v>
      </c>
      <c r="P7" s="112" t="n">
        <f aca="false">P6-6</f>
        <v>46333</v>
      </c>
      <c r="Q7" s="112" t="n">
        <f aca="false">Q6-6</f>
        <v>46340</v>
      </c>
      <c r="R7" s="112" t="n">
        <f aca="false">R6-6</f>
        <v>46347</v>
      </c>
      <c r="S7" s="112" t="n">
        <f aca="false">S6-6</f>
        <v>46354</v>
      </c>
      <c r="T7" s="112" t="n">
        <f aca="false">T6-6</f>
        <v>46361</v>
      </c>
    </row>
    <row r="8" customFormat="false" ht="15" hidden="false" customHeight="false" outlineLevel="0" collapsed="false">
      <c r="A8" s="0" t="s">
        <v>673</v>
      </c>
      <c r="H8" s="113" t="n">
        <f aca="false">EOMONTH(H6,0)</f>
        <v>46295</v>
      </c>
      <c r="I8" s="113" t="n">
        <f aca="false">EOMONTH(I6,0)</f>
        <v>46295</v>
      </c>
      <c r="J8" s="113" t="n">
        <f aca="false">EOMONTH(J6,0)</f>
        <v>46326</v>
      </c>
      <c r="K8" s="113" t="n">
        <f aca="false">EOMONTH(K6,0)</f>
        <v>46326</v>
      </c>
      <c r="L8" s="113" t="n">
        <f aca="false">EOMONTH(L6,0)</f>
        <v>46326</v>
      </c>
      <c r="M8" s="113" t="n">
        <f aca="false">EOMONTH(M6,0)</f>
        <v>46326</v>
      </c>
      <c r="N8" s="113" t="n">
        <f aca="false">EOMONTH(N6,0)</f>
        <v>46326</v>
      </c>
      <c r="O8" s="113" t="n">
        <f aca="false">EOMONTH(O6,0)</f>
        <v>46356</v>
      </c>
      <c r="P8" s="113" t="n">
        <f aca="false">EOMONTH(P6,0)</f>
        <v>46356</v>
      </c>
      <c r="Q8" s="113" t="n">
        <f aca="false">EOMONTH(Q6,0)</f>
        <v>46356</v>
      </c>
      <c r="R8" s="113" t="n">
        <f aca="false">EOMONTH(R6,0)</f>
        <v>46356</v>
      </c>
      <c r="S8" s="113" t="n">
        <f aca="false">EOMONTH(S6,0)</f>
        <v>46387</v>
      </c>
      <c r="T8" s="113" t="n">
        <f aca="false">EOMONTH(T6,0)</f>
        <v>46387</v>
      </c>
    </row>
    <row r="10" customFormat="false" ht="15" hidden="false" customHeight="false" outlineLevel="0" collapsed="false">
      <c r="A10" s="21" t="s">
        <v>674</v>
      </c>
      <c r="B10" s="22"/>
      <c r="C10" s="22"/>
      <c r="D10" s="22"/>
      <c r="E10" s="22"/>
      <c r="F10" s="22"/>
      <c r="G10" s="22"/>
      <c r="H10" s="22"/>
      <c r="I10" s="22"/>
      <c r="J10" s="22"/>
      <c r="K10" s="22"/>
      <c r="L10" s="22"/>
      <c r="M10" s="22"/>
      <c r="N10" s="22"/>
      <c r="O10" s="22"/>
      <c r="P10" s="22"/>
      <c r="Q10" s="22"/>
      <c r="R10" s="22"/>
      <c r="S10" s="22"/>
      <c r="T10" s="22"/>
      <c r="U10" s="22"/>
      <c r="V10" s="22"/>
      <c r="W10" s="22"/>
    </row>
    <row r="11" customFormat="false" ht="15" hidden="false" customHeight="false" outlineLevel="1" collapsed="false">
      <c r="A11" s="13" t="s">
        <v>675</v>
      </c>
      <c r="H11" s="114" t="n">
        <f aca="false">MAX(0,MIN(H$6,Assumptions!M$200)-MAX(H$7,DATE(2026,9,1),$C$7+1)+1)/(Assumptions!M$200-$C$7)</f>
        <v>0.368421052631579</v>
      </c>
      <c r="I11" s="114" t="n">
        <f aca="false">MAX(0,MIN(I$6,Assumptions!M$200)-MAX(I$7,DATE(2026,9,1),$C$7+1)+1)/(Assumptions!M$200-$C$7)</f>
        <v>0.368421052631579</v>
      </c>
      <c r="J11" s="114" t="n">
        <f aca="false">MAX(0,MIN(J$6,Assumptions!M$200)-MAX(J$7,DATE(2026,9,1),$C$7+1)+1)/(Assumptions!M$200-$C$7)</f>
        <v>0.263157894736842</v>
      </c>
      <c r="K11" s="114" t="n">
        <f aca="false">MAX(0,MIN(K$6,Assumptions!M$200)-MAX(K$7,DATE(2026,9,1),$C$7+1)+1)/(Assumptions!M$200-$C$7)</f>
        <v>0</v>
      </c>
      <c r="L11" s="114" t="n">
        <f aca="false">MAX(0,MIN(L$6,Assumptions!M$200)-MAX(L$7,DATE(2026,9,1),$C$7+1)+1)/(Assumptions!M$200-$C$7)</f>
        <v>0</v>
      </c>
      <c r="M11" s="114" t="n">
        <f aca="false">MAX(0,MIN(M$6,Assumptions!M$200)-MAX(M$7,DATE(2026,9,1),$C$7+1)+1)/(Assumptions!M$200-$C$7)</f>
        <v>0</v>
      </c>
      <c r="N11" s="114" t="n">
        <f aca="false">MAX(0,MIN(N$6,Assumptions!M$200)-MAX(N$7,DATE(2026,9,1),$C$7+1)+1)/(Assumptions!M$200-$C$7)</f>
        <v>0</v>
      </c>
      <c r="O11" s="114" t="n">
        <f aca="false">MAX(0,MIN(O$6,Assumptions!M$200)-MAX(O$7,DATE(2026,9,1),$C$7+1)+1)/(Assumptions!M$200-$C$7)</f>
        <v>0</v>
      </c>
      <c r="P11" s="114" t="n">
        <f aca="false">MAX(0,MIN(P$6,Assumptions!M$200)-MAX(P$7,DATE(2026,9,1),$C$7+1)+1)/(Assumptions!M$200-$C$7)</f>
        <v>0</v>
      </c>
      <c r="Q11" s="114" t="n">
        <f aca="false">MAX(0,MIN(Q$6,Assumptions!M$200)-MAX(Q$7,DATE(2026,9,1),$C$7+1)+1)/(Assumptions!M$200-$C$7)</f>
        <v>0</v>
      </c>
      <c r="R11" s="114" t="n">
        <f aca="false">MAX(0,MIN(R$6,Assumptions!M$200)-MAX(R$7,DATE(2026,9,1),$C$7+1)+1)/(Assumptions!M$200-$C$7)</f>
        <v>0</v>
      </c>
      <c r="S11" s="114" t="n">
        <f aca="false">MAX(0,MIN(S$6,Assumptions!M$200)-MAX(S$7,DATE(2026,9,1),$C$7+1)+1)/(Assumptions!M$200-$C$7)</f>
        <v>0</v>
      </c>
      <c r="T11" s="114" t="n">
        <f aca="false">MAX(0,MIN(T$6,Assumptions!M$200)-MAX(T$7,DATE(2026,9,1),$C$7+1)+1)/(Assumptions!M$200-$C$7)</f>
        <v>0</v>
      </c>
      <c r="U11" s="114" t="n">
        <f aca="false">SUM(H11:T11)</f>
        <v>1</v>
      </c>
    </row>
    <row r="12" customFormat="false" ht="15" hidden="false" customHeight="false" outlineLevel="1" collapsed="false">
      <c r="A12" s="13" t="s">
        <v>676</v>
      </c>
      <c r="H12" s="114" t="n">
        <f aca="false">MAX(0,MIN(H$6,Assumptions!N$200)-MAX(H$7,DATE(2026,10,1),$C$7+1)+1)/DAY(Assumptions!N$200)</f>
        <v>0</v>
      </c>
      <c r="I12" s="114" t="n">
        <f aca="false">MAX(0,MIN(I$6,Assumptions!N$200)-MAX(I$7,DATE(2026,10,1),$C$7+1)+1)/DAY(Assumptions!N$200)</f>
        <v>0</v>
      </c>
      <c r="J12" s="114" t="n">
        <f aca="false">MAX(0,MIN(J$6,Assumptions!N$200)-MAX(J$7,DATE(2026,10,1),$C$7+1)+1)/DAY(Assumptions!N$200)</f>
        <v>0.0645161290322581</v>
      </c>
      <c r="K12" s="114" t="n">
        <f aca="false">MAX(0,MIN(K$6,Assumptions!N$200)-MAX(K$7,DATE(2026,10,1),$C$7+1)+1)/DAY(Assumptions!N$200)</f>
        <v>0.225806451612903</v>
      </c>
      <c r="L12" s="114" t="n">
        <f aca="false">MAX(0,MIN(L$6,Assumptions!N$200)-MAX(L$7,DATE(2026,10,1),$C$7+1)+1)/DAY(Assumptions!N$200)</f>
        <v>0.225806451612903</v>
      </c>
      <c r="M12" s="114" t="n">
        <f aca="false">MAX(0,MIN(M$6,Assumptions!N$200)-MAX(M$7,DATE(2026,10,1),$C$7+1)+1)/DAY(Assumptions!N$200)</f>
        <v>0.225806451612903</v>
      </c>
      <c r="N12" s="114" t="n">
        <f aca="false">MAX(0,MIN(N$6,Assumptions!N$200)-MAX(N$7,DATE(2026,10,1),$C$7+1)+1)/DAY(Assumptions!N$200)</f>
        <v>0.225806451612903</v>
      </c>
      <c r="O12" s="114" t="n">
        <f aca="false">MAX(0,MIN(O$6,Assumptions!N$200)-MAX(O$7,DATE(2026,10,1),$C$7+1)+1)/DAY(Assumptions!N$200)</f>
        <v>0.032258064516129</v>
      </c>
      <c r="P12" s="114" t="n">
        <f aca="false">MAX(0,MIN(P$6,Assumptions!N$200)-MAX(P$7,DATE(2026,10,1),$C$7+1)+1)/DAY(Assumptions!N$200)</f>
        <v>0</v>
      </c>
      <c r="Q12" s="114" t="n">
        <f aca="false">MAX(0,MIN(Q$6,Assumptions!N$200)-MAX(Q$7,DATE(2026,10,1),$C$7+1)+1)/DAY(Assumptions!N$200)</f>
        <v>0</v>
      </c>
      <c r="R12" s="114" t="n">
        <f aca="false">MAX(0,MIN(R$6,Assumptions!N$200)-MAX(R$7,DATE(2026,10,1),$C$7+1)+1)/DAY(Assumptions!N$200)</f>
        <v>0</v>
      </c>
      <c r="S12" s="114" t="n">
        <f aca="false">MAX(0,MIN(S$6,Assumptions!N$200)-MAX(S$7,DATE(2026,10,1),$C$7+1)+1)/DAY(Assumptions!N$200)</f>
        <v>0</v>
      </c>
      <c r="T12" s="114" t="n">
        <f aca="false">MAX(0,MIN(T$6,Assumptions!N$200)-MAX(T$7,DATE(2026,10,1),$C$7+1)+1)/DAY(Assumptions!N$200)</f>
        <v>0</v>
      </c>
      <c r="U12" s="114" t="n">
        <f aca="false">SUM(H12:T12)</f>
        <v>1</v>
      </c>
    </row>
    <row r="13" customFormat="false" ht="15" hidden="false" customHeight="false" outlineLevel="1" collapsed="false">
      <c r="A13" s="13" t="s">
        <v>677</v>
      </c>
      <c r="H13" s="114" t="n">
        <f aca="false">MAX(0,MIN(H$6,Assumptions!O$200)-MAX(H$7,DATE(2026,11,1),$C$7+1)+1)/DAY(Assumptions!O$200)</f>
        <v>0</v>
      </c>
      <c r="I13" s="114" t="n">
        <f aca="false">MAX(0,MIN(I$6,Assumptions!O$200)-MAX(I$7,DATE(2026,11,1),$C$7+1)+1)/DAY(Assumptions!O$200)</f>
        <v>0</v>
      </c>
      <c r="J13" s="114" t="n">
        <f aca="false">MAX(0,MIN(J$6,Assumptions!O$200)-MAX(J$7,DATE(2026,11,1),$C$7+1)+1)/DAY(Assumptions!O$200)</f>
        <v>0</v>
      </c>
      <c r="K13" s="114" t="n">
        <f aca="false">MAX(0,MIN(K$6,Assumptions!O$200)-MAX(K$7,DATE(2026,11,1),$C$7+1)+1)/DAY(Assumptions!O$200)</f>
        <v>0</v>
      </c>
      <c r="L13" s="114" t="n">
        <f aca="false">MAX(0,MIN(L$6,Assumptions!O$200)-MAX(L$7,DATE(2026,11,1),$C$7+1)+1)/DAY(Assumptions!O$200)</f>
        <v>0</v>
      </c>
      <c r="M13" s="114" t="n">
        <f aca="false">MAX(0,MIN(M$6,Assumptions!O$200)-MAX(M$7,DATE(2026,11,1),$C$7+1)+1)/DAY(Assumptions!O$200)</f>
        <v>0</v>
      </c>
      <c r="N13" s="114" t="n">
        <f aca="false">MAX(0,MIN(N$6,Assumptions!O$200)-MAX(N$7,DATE(2026,11,1),$C$7+1)+1)/DAY(Assumptions!O$200)</f>
        <v>0</v>
      </c>
      <c r="O13" s="114" t="n">
        <f aca="false">MAX(0,MIN(O$6,Assumptions!O$200)-MAX(O$7,DATE(2026,11,1),$C$7+1)+1)/DAY(Assumptions!O$200)</f>
        <v>0.2</v>
      </c>
      <c r="P13" s="114" t="n">
        <f aca="false">MAX(0,MIN(P$6,Assumptions!O$200)-MAX(P$7,DATE(2026,11,1),$C$7+1)+1)/DAY(Assumptions!O$200)</f>
        <v>0.233333333333333</v>
      </c>
      <c r="Q13" s="114" t="n">
        <f aca="false">MAX(0,MIN(Q$6,Assumptions!O$200)-MAX(Q$7,DATE(2026,11,1),$C$7+1)+1)/DAY(Assumptions!O$200)</f>
        <v>0.233333333333333</v>
      </c>
      <c r="R13" s="114" t="n">
        <f aca="false">MAX(0,MIN(R$6,Assumptions!O$200)-MAX(R$7,DATE(2026,11,1),$C$7+1)+1)/DAY(Assumptions!O$200)</f>
        <v>0.233333333333333</v>
      </c>
      <c r="S13" s="114" t="n">
        <f aca="false">MAX(0,MIN(S$6,Assumptions!O$200)-MAX(S$7,DATE(2026,11,1),$C$7+1)+1)/DAY(Assumptions!O$200)</f>
        <v>0.1</v>
      </c>
      <c r="T13" s="114" t="n">
        <f aca="false">MAX(0,MIN(T$6,Assumptions!O$200)-MAX(T$7,DATE(2026,11,1),$C$7+1)+1)/DAY(Assumptions!O$200)</f>
        <v>0</v>
      </c>
      <c r="U13" s="114" t="n">
        <f aca="false">SUM(H13:T13)</f>
        <v>1</v>
      </c>
    </row>
    <row r="14" customFormat="false" ht="15" hidden="false" customHeight="false" outlineLevel="1" collapsed="false">
      <c r="A14" s="13" t="s">
        <v>678</v>
      </c>
      <c r="H14" s="114" t="n">
        <f aca="false">MAX(0,MIN(H$6,Assumptions!P$200)-MAX(H$7,DATE(2026,12,1),$C$7+1)+1)/DAY(Assumptions!P$200)</f>
        <v>0</v>
      </c>
      <c r="I14" s="114" t="n">
        <f aca="false">MAX(0,MIN(I$6,Assumptions!P$200)-MAX(I$7,DATE(2026,12,1),$C$7+1)+1)/DAY(Assumptions!P$200)</f>
        <v>0</v>
      </c>
      <c r="J14" s="114" t="n">
        <f aca="false">MAX(0,MIN(J$6,Assumptions!P$200)-MAX(J$7,DATE(2026,12,1),$C$7+1)+1)/DAY(Assumptions!P$200)</f>
        <v>0</v>
      </c>
      <c r="K14" s="114" t="n">
        <f aca="false">MAX(0,MIN(K$6,Assumptions!P$200)-MAX(K$7,DATE(2026,12,1),$C$7+1)+1)/DAY(Assumptions!P$200)</f>
        <v>0</v>
      </c>
      <c r="L14" s="114" t="n">
        <f aca="false">MAX(0,MIN(L$6,Assumptions!P$200)-MAX(L$7,DATE(2026,12,1),$C$7+1)+1)/DAY(Assumptions!P$200)</f>
        <v>0</v>
      </c>
      <c r="M14" s="114" t="n">
        <f aca="false">MAX(0,MIN(M$6,Assumptions!P$200)-MAX(M$7,DATE(2026,12,1),$C$7+1)+1)/DAY(Assumptions!P$200)</f>
        <v>0</v>
      </c>
      <c r="N14" s="114" t="n">
        <f aca="false">MAX(0,MIN(N$6,Assumptions!P$200)-MAX(N$7,DATE(2026,12,1),$C$7+1)+1)/DAY(Assumptions!P$200)</f>
        <v>0</v>
      </c>
      <c r="O14" s="114" t="n">
        <f aca="false">MAX(0,MIN(O$6,Assumptions!P$200)-MAX(O$7,DATE(2026,12,1),$C$7+1)+1)/DAY(Assumptions!P$200)</f>
        <v>0</v>
      </c>
      <c r="P14" s="114" t="n">
        <f aca="false">MAX(0,MIN(P$6,Assumptions!P$200)-MAX(P$7,DATE(2026,12,1),$C$7+1)+1)/DAY(Assumptions!P$200)</f>
        <v>0</v>
      </c>
      <c r="Q14" s="114" t="n">
        <f aca="false">MAX(0,MIN(Q$6,Assumptions!P$200)-MAX(Q$7,DATE(2026,12,1),$C$7+1)+1)/DAY(Assumptions!P$200)</f>
        <v>0</v>
      </c>
      <c r="R14" s="114" t="n">
        <f aca="false">MAX(0,MIN(R$6,Assumptions!P$200)-MAX(R$7,DATE(2026,12,1),$C$7+1)+1)/DAY(Assumptions!P$200)</f>
        <v>0</v>
      </c>
      <c r="S14" s="114" t="n">
        <f aca="false">MAX(0,MIN(S$6,Assumptions!P$200)-MAX(S$7,DATE(2026,12,1),$C$7+1)+1)/DAY(Assumptions!P$200)</f>
        <v>0.129032258064516</v>
      </c>
      <c r="T14" s="114" t="n">
        <f aca="false">MAX(0,MIN(T$6,Assumptions!P$200)-MAX(T$7,DATE(2026,12,1),$C$7+1)+1)/DAY(Assumptions!P$200)</f>
        <v>0.225806451612903</v>
      </c>
      <c r="U14" s="114" t="n">
        <f aca="false">SUM(H14:T14)</f>
        <v>0.354838709677419</v>
      </c>
    </row>
    <row r="15" customFormat="false" ht="15" hidden="false" customHeight="false" outlineLevel="1" collapsed="false">
      <c r="A15" s="13" t="s">
        <v>679</v>
      </c>
      <c r="H15" s="114" t="n">
        <f aca="false">IF(AND(Assumptions!M$200&gt;=H$7,Assumptions!M$200&lt;=H$6,Assumptions!M$200&gt;$C$7),1,0)</f>
        <v>0</v>
      </c>
      <c r="I15" s="114" t="n">
        <f aca="false">IF(AND(Assumptions!M$200&gt;=I$7,Assumptions!M$200&lt;=I$6,Assumptions!M$200&gt;$C$7),1,0)</f>
        <v>0</v>
      </c>
      <c r="J15" s="114" t="n">
        <f aca="false">IF(AND(Assumptions!M$200&gt;=J$7,Assumptions!M$200&lt;=J$6,Assumptions!M$200&gt;$C$7),1,0)</f>
        <v>1</v>
      </c>
      <c r="K15" s="114" t="n">
        <f aca="false">IF(AND(Assumptions!M$200&gt;=K$7,Assumptions!M$200&lt;=K$6,Assumptions!M$200&gt;$C$7),1,0)</f>
        <v>0</v>
      </c>
      <c r="L15" s="114" t="n">
        <f aca="false">IF(AND(Assumptions!M$200&gt;=L$7,Assumptions!M$200&lt;=L$6,Assumptions!M$200&gt;$C$7),1,0)</f>
        <v>0</v>
      </c>
      <c r="M15" s="114" t="n">
        <f aca="false">IF(AND(Assumptions!M$200&gt;=M$7,Assumptions!M$200&lt;=M$6,Assumptions!M$200&gt;$C$7),1,0)</f>
        <v>0</v>
      </c>
      <c r="N15" s="114" t="n">
        <f aca="false">IF(AND(Assumptions!M$200&gt;=N$7,Assumptions!M$200&lt;=N$6,Assumptions!M$200&gt;$C$7),1,0)</f>
        <v>0</v>
      </c>
      <c r="O15" s="114" t="n">
        <f aca="false">IF(AND(Assumptions!M$200&gt;=O$7,Assumptions!M$200&lt;=O$6,Assumptions!M$200&gt;$C$7),1,0)</f>
        <v>0</v>
      </c>
      <c r="P15" s="114" t="n">
        <f aca="false">IF(AND(Assumptions!M$200&gt;=P$7,Assumptions!M$200&lt;=P$6,Assumptions!M$200&gt;$C$7),1,0)</f>
        <v>0</v>
      </c>
      <c r="Q15" s="114" t="n">
        <f aca="false">IF(AND(Assumptions!M$200&gt;=Q$7,Assumptions!M$200&lt;=Q$6,Assumptions!M$200&gt;$C$7),1,0)</f>
        <v>0</v>
      </c>
      <c r="R15" s="114" t="n">
        <f aca="false">IF(AND(Assumptions!M$200&gt;=R$7,Assumptions!M$200&lt;=R$6,Assumptions!M$200&gt;$C$7),1,0)</f>
        <v>0</v>
      </c>
      <c r="S15" s="114" t="n">
        <f aca="false">IF(AND(Assumptions!M$200&gt;=S$7,Assumptions!M$200&lt;=S$6,Assumptions!M$200&gt;$C$7),1,0)</f>
        <v>0</v>
      </c>
      <c r="T15" s="114" t="n">
        <f aca="false">IF(AND(Assumptions!M$200&gt;=T$7,Assumptions!M$200&lt;=T$6,Assumptions!M$200&gt;$C$7),1,0)</f>
        <v>0</v>
      </c>
      <c r="U15" s="114" t="n">
        <f aca="false">SUM(H15:T15)</f>
        <v>1</v>
      </c>
    </row>
    <row r="16" customFormat="false" ht="15" hidden="false" customHeight="false" outlineLevel="1" collapsed="false">
      <c r="A16" s="13" t="s">
        <v>680</v>
      </c>
      <c r="H16" s="114" t="n">
        <f aca="false">IF(AND(Assumptions!N$200&gt;=H$7,Assumptions!N$200&lt;=H$6,Assumptions!N$200&gt;$C$7),1,0)</f>
        <v>0</v>
      </c>
      <c r="I16" s="114" t="n">
        <f aca="false">IF(AND(Assumptions!N$200&gt;=I$7,Assumptions!N$200&lt;=I$6,Assumptions!N$200&gt;$C$7),1,0)</f>
        <v>0</v>
      </c>
      <c r="J16" s="114" t="n">
        <f aca="false">IF(AND(Assumptions!N$200&gt;=J$7,Assumptions!N$200&lt;=J$6,Assumptions!N$200&gt;$C$7),1,0)</f>
        <v>0</v>
      </c>
      <c r="K16" s="114" t="n">
        <f aca="false">IF(AND(Assumptions!N$200&gt;=K$7,Assumptions!N$200&lt;=K$6,Assumptions!N$200&gt;$C$7),1,0)</f>
        <v>0</v>
      </c>
      <c r="L16" s="114" t="n">
        <f aca="false">IF(AND(Assumptions!N$200&gt;=L$7,Assumptions!N$200&lt;=L$6,Assumptions!N$200&gt;$C$7),1,0)</f>
        <v>0</v>
      </c>
      <c r="M16" s="114" t="n">
        <f aca="false">IF(AND(Assumptions!N$200&gt;=M$7,Assumptions!N$200&lt;=M$6,Assumptions!N$200&gt;$C$7),1,0)</f>
        <v>0</v>
      </c>
      <c r="N16" s="114" t="n">
        <f aca="false">IF(AND(Assumptions!N$200&gt;=N$7,Assumptions!N$200&lt;=N$6,Assumptions!N$200&gt;$C$7),1,0)</f>
        <v>0</v>
      </c>
      <c r="O16" s="114" t="n">
        <f aca="false">IF(AND(Assumptions!N$200&gt;=O$7,Assumptions!N$200&lt;=O$6,Assumptions!N$200&gt;$C$7),1,0)</f>
        <v>1</v>
      </c>
      <c r="P16" s="114" t="n">
        <f aca="false">IF(AND(Assumptions!N$200&gt;=P$7,Assumptions!N$200&lt;=P$6,Assumptions!N$200&gt;$C$7),1,0)</f>
        <v>0</v>
      </c>
      <c r="Q16" s="114" t="n">
        <f aca="false">IF(AND(Assumptions!N$200&gt;=Q$7,Assumptions!N$200&lt;=Q$6,Assumptions!N$200&gt;$C$7),1,0)</f>
        <v>0</v>
      </c>
      <c r="R16" s="114" t="n">
        <f aca="false">IF(AND(Assumptions!N$200&gt;=R$7,Assumptions!N$200&lt;=R$6,Assumptions!N$200&gt;$C$7),1,0)</f>
        <v>0</v>
      </c>
      <c r="S16" s="114" t="n">
        <f aca="false">IF(AND(Assumptions!N$200&gt;=S$7,Assumptions!N$200&lt;=S$6,Assumptions!N$200&gt;$C$7),1,0)</f>
        <v>0</v>
      </c>
      <c r="T16" s="114" t="n">
        <f aca="false">IF(AND(Assumptions!N$200&gt;=T$7,Assumptions!N$200&lt;=T$6,Assumptions!N$200&gt;$C$7),1,0)</f>
        <v>0</v>
      </c>
      <c r="U16" s="114" t="n">
        <f aca="false">SUM(H16:T16)</f>
        <v>1</v>
      </c>
    </row>
    <row r="17" customFormat="false" ht="15" hidden="false" customHeight="false" outlineLevel="1" collapsed="false">
      <c r="A17" s="13" t="s">
        <v>681</v>
      </c>
      <c r="H17" s="114" t="n">
        <f aca="false">IF(AND(Assumptions!O$200&gt;=H$7,Assumptions!O$200&lt;=H$6,Assumptions!O$200&gt;$C$7),1,0)</f>
        <v>0</v>
      </c>
      <c r="I17" s="114" t="n">
        <f aca="false">IF(AND(Assumptions!O$200&gt;=I$7,Assumptions!O$200&lt;=I$6,Assumptions!O$200&gt;$C$7),1,0)</f>
        <v>0</v>
      </c>
      <c r="J17" s="114" t="n">
        <f aca="false">IF(AND(Assumptions!O$200&gt;=J$7,Assumptions!O$200&lt;=J$6,Assumptions!O$200&gt;$C$7),1,0)</f>
        <v>0</v>
      </c>
      <c r="K17" s="114" t="n">
        <f aca="false">IF(AND(Assumptions!O$200&gt;=K$7,Assumptions!O$200&lt;=K$6,Assumptions!O$200&gt;$C$7),1,0)</f>
        <v>0</v>
      </c>
      <c r="L17" s="114" t="n">
        <f aca="false">IF(AND(Assumptions!O$200&gt;=L$7,Assumptions!O$200&lt;=L$6,Assumptions!O$200&gt;$C$7),1,0)</f>
        <v>0</v>
      </c>
      <c r="M17" s="114" t="n">
        <f aca="false">IF(AND(Assumptions!O$200&gt;=M$7,Assumptions!O$200&lt;=M$6,Assumptions!O$200&gt;$C$7),1,0)</f>
        <v>0</v>
      </c>
      <c r="N17" s="114" t="n">
        <f aca="false">IF(AND(Assumptions!O$200&gt;=N$7,Assumptions!O$200&lt;=N$6,Assumptions!O$200&gt;$C$7),1,0)</f>
        <v>0</v>
      </c>
      <c r="O17" s="114" t="n">
        <f aca="false">IF(AND(Assumptions!O$200&gt;=O$7,Assumptions!O$200&lt;=O$6,Assumptions!O$200&gt;$C$7),1,0)</f>
        <v>0</v>
      </c>
      <c r="P17" s="114" t="n">
        <f aca="false">IF(AND(Assumptions!O$200&gt;=P$7,Assumptions!O$200&lt;=P$6,Assumptions!O$200&gt;$C$7),1,0)</f>
        <v>0</v>
      </c>
      <c r="Q17" s="114" t="n">
        <f aca="false">IF(AND(Assumptions!O$200&gt;=Q$7,Assumptions!O$200&lt;=Q$6,Assumptions!O$200&gt;$C$7),1,0)</f>
        <v>0</v>
      </c>
      <c r="R17" s="114" t="n">
        <f aca="false">IF(AND(Assumptions!O$200&gt;=R$7,Assumptions!O$200&lt;=R$6,Assumptions!O$200&gt;$C$7),1,0)</f>
        <v>0</v>
      </c>
      <c r="S17" s="114" t="n">
        <f aca="false">IF(AND(Assumptions!O$200&gt;=S$7,Assumptions!O$200&lt;=S$6,Assumptions!O$200&gt;$C$7),1,0)</f>
        <v>1</v>
      </c>
      <c r="T17" s="114" t="n">
        <f aca="false">IF(AND(Assumptions!O$200&gt;=T$7,Assumptions!O$200&lt;=T$6,Assumptions!O$200&gt;$C$7),1,0)</f>
        <v>0</v>
      </c>
      <c r="U17" s="114" t="n">
        <f aca="false">SUM(H17:T17)</f>
        <v>1</v>
      </c>
    </row>
    <row r="18" customFormat="false" ht="15" hidden="false" customHeight="false" outlineLevel="1" collapsed="false">
      <c r="A18" s="13" t="s">
        <v>682</v>
      </c>
      <c r="H18" s="114" t="n">
        <f aca="false">IF(AND(Assumptions!P$200&gt;=H$7,Assumptions!P$200&lt;=H$6,Assumptions!P$200&gt;$C$7),1,0)</f>
        <v>0</v>
      </c>
      <c r="I18" s="114" t="n">
        <f aca="false">IF(AND(Assumptions!P$200&gt;=I$7,Assumptions!P$200&lt;=I$6,Assumptions!P$200&gt;$C$7),1,0)</f>
        <v>0</v>
      </c>
      <c r="J18" s="114" t="n">
        <f aca="false">IF(AND(Assumptions!P$200&gt;=J$7,Assumptions!P$200&lt;=J$6,Assumptions!P$200&gt;$C$7),1,0)</f>
        <v>0</v>
      </c>
      <c r="K18" s="114" t="n">
        <f aca="false">IF(AND(Assumptions!P$200&gt;=K$7,Assumptions!P$200&lt;=K$6,Assumptions!P$200&gt;$C$7),1,0)</f>
        <v>0</v>
      </c>
      <c r="L18" s="114" t="n">
        <f aca="false">IF(AND(Assumptions!P$200&gt;=L$7,Assumptions!P$200&lt;=L$6,Assumptions!P$200&gt;$C$7),1,0)</f>
        <v>0</v>
      </c>
      <c r="M18" s="114" t="n">
        <f aca="false">IF(AND(Assumptions!P$200&gt;=M$7,Assumptions!P$200&lt;=M$6,Assumptions!P$200&gt;$C$7),1,0)</f>
        <v>0</v>
      </c>
      <c r="N18" s="114" t="n">
        <f aca="false">IF(AND(Assumptions!P$200&gt;=N$7,Assumptions!P$200&lt;=N$6,Assumptions!P$200&gt;$C$7),1,0)</f>
        <v>0</v>
      </c>
      <c r="O18" s="114" t="n">
        <f aca="false">IF(AND(Assumptions!P$200&gt;=O$7,Assumptions!P$200&lt;=O$6,Assumptions!P$200&gt;$C$7),1,0)</f>
        <v>0</v>
      </c>
      <c r="P18" s="114" t="n">
        <f aca="false">IF(AND(Assumptions!P$200&gt;=P$7,Assumptions!P$200&lt;=P$6,Assumptions!P$200&gt;$C$7),1,0)</f>
        <v>0</v>
      </c>
      <c r="Q18" s="114" t="n">
        <f aca="false">IF(AND(Assumptions!P$200&gt;=Q$7,Assumptions!P$200&lt;=Q$6,Assumptions!P$200&gt;$C$7),1,0)</f>
        <v>0</v>
      </c>
      <c r="R18" s="114" t="n">
        <f aca="false">IF(AND(Assumptions!P$200&gt;=R$7,Assumptions!P$200&lt;=R$6,Assumptions!P$200&gt;$C$7),1,0)</f>
        <v>0</v>
      </c>
      <c r="S18" s="114" t="n">
        <f aca="false">IF(AND(Assumptions!P$200&gt;=S$7,Assumptions!P$200&lt;=S$6,Assumptions!P$200&gt;$C$7),1,0)</f>
        <v>0</v>
      </c>
      <c r="T18" s="114" t="n">
        <f aca="false">IF(AND(Assumptions!P$200&gt;=T$7,Assumptions!P$200&lt;=T$6,Assumptions!P$200&gt;$C$7),1,0)</f>
        <v>0</v>
      </c>
      <c r="U18" s="114" t="n">
        <f aca="false">SUM(H18:T18)</f>
        <v>0</v>
      </c>
    </row>
    <row r="19" customFormat="false" ht="15" hidden="false" customHeight="false" outlineLevel="1" collapsed="false">
      <c r="A19" s="13" t="s">
        <v>683</v>
      </c>
      <c r="H19" s="114" t="n">
        <f aca="false">IF(AND(DATE(2026,9,30)&gt;=H$7,DATE(2026,9,30)&lt;=H$6,DATE(2026,9,30)&gt;$C$7),1,0)</f>
        <v>0</v>
      </c>
      <c r="I19" s="114" t="n">
        <f aca="false">IF(AND(DATE(2026,9,30)&gt;=I$7,DATE(2026,9,30)&lt;=I$6,DATE(2026,9,30)&gt;$C$7),1,0)</f>
        <v>0</v>
      </c>
      <c r="J19" s="114" t="n">
        <f aca="false">IF(AND(DATE(2026,9,30)&gt;=J$7,DATE(2026,9,30)&lt;=J$6,DATE(2026,9,30)&gt;$C$7),1,0)</f>
        <v>1</v>
      </c>
      <c r="K19" s="114" t="n">
        <f aca="false">IF(AND(DATE(2026,9,30)&gt;=K$7,DATE(2026,9,30)&lt;=K$6,DATE(2026,9,30)&gt;$C$7),1,0)</f>
        <v>0</v>
      </c>
      <c r="L19" s="114" t="n">
        <f aca="false">IF(AND(DATE(2026,9,30)&gt;=L$7,DATE(2026,9,30)&lt;=L$6,DATE(2026,9,30)&gt;$C$7),1,0)</f>
        <v>0</v>
      </c>
      <c r="M19" s="114" t="n">
        <f aca="false">IF(AND(DATE(2026,9,30)&gt;=M$7,DATE(2026,9,30)&lt;=M$6,DATE(2026,9,30)&gt;$C$7),1,0)</f>
        <v>0</v>
      </c>
      <c r="N19" s="114" t="n">
        <f aca="false">IF(AND(DATE(2026,9,30)&gt;=N$7,DATE(2026,9,30)&lt;=N$6,DATE(2026,9,30)&gt;$C$7),1,0)</f>
        <v>0</v>
      </c>
      <c r="O19" s="114" t="n">
        <f aca="false">IF(AND(DATE(2026,9,30)&gt;=O$7,DATE(2026,9,30)&lt;=O$6,DATE(2026,9,30)&gt;$C$7),1,0)</f>
        <v>0</v>
      </c>
      <c r="P19" s="114" t="n">
        <f aca="false">IF(AND(DATE(2026,9,30)&gt;=P$7,DATE(2026,9,30)&lt;=P$6,DATE(2026,9,30)&gt;$C$7),1,0)</f>
        <v>0</v>
      </c>
      <c r="Q19" s="114" t="n">
        <f aca="false">IF(AND(DATE(2026,9,30)&gt;=Q$7,DATE(2026,9,30)&lt;=Q$6,DATE(2026,9,30)&gt;$C$7),1,0)</f>
        <v>0</v>
      </c>
      <c r="R19" s="114" t="n">
        <f aca="false">IF(AND(DATE(2026,9,30)&gt;=R$7,DATE(2026,9,30)&lt;=R$6,DATE(2026,9,30)&gt;$C$7),1,0)</f>
        <v>0</v>
      </c>
      <c r="S19" s="114" t="n">
        <f aca="false">IF(AND(DATE(2026,9,30)&gt;=S$7,DATE(2026,9,30)&lt;=S$6,DATE(2026,9,30)&gt;$C$7),1,0)</f>
        <v>0</v>
      </c>
      <c r="T19" s="114" t="n">
        <f aca="false">IF(AND(DATE(2026,9,30)&gt;=T$7,DATE(2026,9,30)&lt;=T$6,DATE(2026,9,30)&gt;$C$7),1,0)</f>
        <v>0</v>
      </c>
      <c r="U19" s="114" t="n">
        <f aca="false">SUM(H19:T19)</f>
        <v>1</v>
      </c>
    </row>
    <row r="20" customFormat="false" ht="15" hidden="false" customHeight="false" outlineLevel="1" collapsed="false">
      <c r="A20" s="13" t="s">
        <v>684</v>
      </c>
      <c r="H20" s="114" t="n">
        <f aca="false">IF(AND(DATE(2026,10,30)&gt;=H$7,DATE(2026,10,30)&lt;=H$6,DATE(2026,10,30)&gt;$C$7),1,0)</f>
        <v>0</v>
      </c>
      <c r="I20" s="114" t="n">
        <f aca="false">IF(AND(DATE(2026,10,30)&gt;=I$7,DATE(2026,10,30)&lt;=I$6,DATE(2026,10,30)&gt;$C$7),1,0)</f>
        <v>0</v>
      </c>
      <c r="J20" s="114" t="n">
        <f aca="false">IF(AND(DATE(2026,10,30)&gt;=J$7,DATE(2026,10,30)&lt;=J$6,DATE(2026,10,30)&gt;$C$7),1,0)</f>
        <v>0</v>
      </c>
      <c r="K20" s="114" t="n">
        <f aca="false">IF(AND(DATE(2026,10,30)&gt;=K$7,DATE(2026,10,30)&lt;=K$6,DATE(2026,10,30)&gt;$C$7),1,0)</f>
        <v>0</v>
      </c>
      <c r="L20" s="114" t="n">
        <f aca="false">IF(AND(DATE(2026,10,30)&gt;=L$7,DATE(2026,10,30)&lt;=L$6,DATE(2026,10,30)&gt;$C$7),1,0)</f>
        <v>0</v>
      </c>
      <c r="M20" s="114" t="n">
        <f aca="false">IF(AND(DATE(2026,10,30)&gt;=M$7,DATE(2026,10,30)&lt;=M$6,DATE(2026,10,30)&gt;$C$7),1,0)</f>
        <v>0</v>
      </c>
      <c r="N20" s="114" t="n">
        <f aca="false">IF(AND(DATE(2026,10,30)&gt;=N$7,DATE(2026,10,30)&lt;=N$6,DATE(2026,10,30)&gt;$C$7),1,0)</f>
        <v>1</v>
      </c>
      <c r="O20" s="114" t="n">
        <f aca="false">IF(AND(DATE(2026,10,30)&gt;=O$7,DATE(2026,10,30)&lt;=O$6,DATE(2026,10,30)&gt;$C$7),1,0)</f>
        <v>0</v>
      </c>
      <c r="P20" s="114" t="n">
        <f aca="false">IF(AND(DATE(2026,10,30)&gt;=P$7,DATE(2026,10,30)&lt;=P$6,DATE(2026,10,30)&gt;$C$7),1,0)</f>
        <v>0</v>
      </c>
      <c r="Q20" s="114" t="n">
        <f aca="false">IF(AND(DATE(2026,10,30)&gt;=Q$7,DATE(2026,10,30)&lt;=Q$6,DATE(2026,10,30)&gt;$C$7),1,0)</f>
        <v>0</v>
      </c>
      <c r="R20" s="114" t="n">
        <f aca="false">IF(AND(DATE(2026,10,30)&gt;=R$7,DATE(2026,10,30)&lt;=R$6,DATE(2026,10,30)&gt;$C$7),1,0)</f>
        <v>0</v>
      </c>
      <c r="S20" s="114" t="n">
        <f aca="false">IF(AND(DATE(2026,10,30)&gt;=S$7,DATE(2026,10,30)&lt;=S$6,DATE(2026,10,30)&gt;$C$7),1,0)</f>
        <v>0</v>
      </c>
      <c r="T20" s="114" t="n">
        <f aca="false">IF(AND(DATE(2026,10,30)&gt;=T$7,DATE(2026,10,30)&lt;=T$6,DATE(2026,10,30)&gt;$C$7),1,0)</f>
        <v>0</v>
      </c>
      <c r="U20" s="114" t="n">
        <f aca="false">SUM(H20:T20)</f>
        <v>1</v>
      </c>
    </row>
    <row r="21" customFormat="false" ht="15" hidden="false" customHeight="false" outlineLevel="1" collapsed="false">
      <c r="A21" s="13" t="s">
        <v>685</v>
      </c>
      <c r="H21" s="114" t="n">
        <f aca="false">IF(AND(DATE(2026,11,30)&gt;=H$7,DATE(2026,11,30)&lt;=H$6,DATE(2026,11,30)&gt;$C$7),1,0)</f>
        <v>0</v>
      </c>
      <c r="I21" s="114" t="n">
        <f aca="false">IF(AND(DATE(2026,11,30)&gt;=I$7,DATE(2026,11,30)&lt;=I$6,DATE(2026,11,30)&gt;$C$7),1,0)</f>
        <v>0</v>
      </c>
      <c r="J21" s="114" t="n">
        <f aca="false">IF(AND(DATE(2026,11,30)&gt;=J$7,DATE(2026,11,30)&lt;=J$6,DATE(2026,11,30)&gt;$C$7),1,0)</f>
        <v>0</v>
      </c>
      <c r="K21" s="114" t="n">
        <f aca="false">IF(AND(DATE(2026,11,30)&gt;=K$7,DATE(2026,11,30)&lt;=K$6,DATE(2026,11,30)&gt;$C$7),1,0)</f>
        <v>0</v>
      </c>
      <c r="L21" s="114" t="n">
        <f aca="false">IF(AND(DATE(2026,11,30)&gt;=L$7,DATE(2026,11,30)&lt;=L$6,DATE(2026,11,30)&gt;$C$7),1,0)</f>
        <v>0</v>
      </c>
      <c r="M21" s="114" t="n">
        <f aca="false">IF(AND(DATE(2026,11,30)&gt;=M$7,DATE(2026,11,30)&lt;=M$6,DATE(2026,11,30)&gt;$C$7),1,0)</f>
        <v>0</v>
      </c>
      <c r="N21" s="114" t="n">
        <f aca="false">IF(AND(DATE(2026,11,30)&gt;=N$7,DATE(2026,11,30)&lt;=N$6,DATE(2026,11,30)&gt;$C$7),1,0)</f>
        <v>0</v>
      </c>
      <c r="O21" s="114" t="n">
        <f aca="false">IF(AND(DATE(2026,11,30)&gt;=O$7,DATE(2026,11,30)&lt;=O$6,DATE(2026,11,30)&gt;$C$7),1,0)</f>
        <v>0</v>
      </c>
      <c r="P21" s="114" t="n">
        <f aca="false">IF(AND(DATE(2026,11,30)&gt;=P$7,DATE(2026,11,30)&lt;=P$6,DATE(2026,11,30)&gt;$C$7),1,0)</f>
        <v>0</v>
      </c>
      <c r="Q21" s="114" t="n">
        <f aca="false">IF(AND(DATE(2026,11,30)&gt;=Q$7,DATE(2026,11,30)&lt;=Q$6,DATE(2026,11,30)&gt;$C$7),1,0)</f>
        <v>0</v>
      </c>
      <c r="R21" s="114" t="n">
        <f aca="false">IF(AND(DATE(2026,11,30)&gt;=R$7,DATE(2026,11,30)&lt;=R$6,DATE(2026,11,30)&gt;$C$7),1,0)</f>
        <v>0</v>
      </c>
      <c r="S21" s="114" t="n">
        <f aca="false">IF(AND(DATE(2026,11,30)&gt;=S$7,DATE(2026,11,30)&lt;=S$6,DATE(2026,11,30)&gt;$C$7),1,0)</f>
        <v>1</v>
      </c>
      <c r="T21" s="114" t="n">
        <f aca="false">IF(AND(DATE(2026,11,30)&gt;=T$7,DATE(2026,11,30)&lt;=T$6,DATE(2026,11,30)&gt;$C$7),1,0)</f>
        <v>0</v>
      </c>
      <c r="U21" s="114" t="n">
        <f aca="false">SUM(H21:T21)</f>
        <v>1</v>
      </c>
    </row>
    <row r="22" customFormat="false" ht="15" hidden="false" customHeight="false" outlineLevel="1" collapsed="false">
      <c r="A22" s="13" t="s">
        <v>686</v>
      </c>
      <c r="H22" s="114" t="n">
        <f aca="false">IF(AND(DATE(2026,12,31)&gt;=H$7,DATE(2026,12,31)&lt;=H$6,DATE(2026,12,31)&gt;$C$7),1,0)</f>
        <v>0</v>
      </c>
      <c r="I22" s="114" t="n">
        <f aca="false">IF(AND(DATE(2026,12,31)&gt;=I$7,DATE(2026,12,31)&lt;=I$6,DATE(2026,12,31)&gt;$C$7),1,0)</f>
        <v>0</v>
      </c>
      <c r="J22" s="114" t="n">
        <f aca="false">IF(AND(DATE(2026,12,31)&gt;=J$7,DATE(2026,12,31)&lt;=J$6,DATE(2026,12,31)&gt;$C$7),1,0)</f>
        <v>0</v>
      </c>
      <c r="K22" s="114" t="n">
        <f aca="false">IF(AND(DATE(2026,12,31)&gt;=K$7,DATE(2026,12,31)&lt;=K$6,DATE(2026,12,31)&gt;$C$7),1,0)</f>
        <v>0</v>
      </c>
      <c r="L22" s="114" t="n">
        <f aca="false">IF(AND(DATE(2026,12,31)&gt;=L$7,DATE(2026,12,31)&lt;=L$6,DATE(2026,12,31)&gt;$C$7),1,0)</f>
        <v>0</v>
      </c>
      <c r="M22" s="114" t="n">
        <f aca="false">IF(AND(DATE(2026,12,31)&gt;=M$7,DATE(2026,12,31)&lt;=M$6,DATE(2026,12,31)&gt;$C$7),1,0)</f>
        <v>0</v>
      </c>
      <c r="N22" s="114" t="n">
        <f aca="false">IF(AND(DATE(2026,12,31)&gt;=N$7,DATE(2026,12,31)&lt;=N$6,DATE(2026,12,31)&gt;$C$7),1,0)</f>
        <v>0</v>
      </c>
      <c r="O22" s="114" t="n">
        <f aca="false">IF(AND(DATE(2026,12,31)&gt;=O$7,DATE(2026,12,31)&lt;=O$6,DATE(2026,12,31)&gt;$C$7),1,0)</f>
        <v>0</v>
      </c>
      <c r="P22" s="114" t="n">
        <f aca="false">IF(AND(DATE(2026,12,31)&gt;=P$7,DATE(2026,12,31)&lt;=P$6,DATE(2026,12,31)&gt;$C$7),1,0)</f>
        <v>0</v>
      </c>
      <c r="Q22" s="114" t="n">
        <f aca="false">IF(AND(DATE(2026,12,31)&gt;=Q$7,DATE(2026,12,31)&lt;=Q$6,DATE(2026,12,31)&gt;$C$7),1,0)</f>
        <v>0</v>
      </c>
      <c r="R22" s="114" t="n">
        <f aca="false">IF(AND(DATE(2026,12,31)&gt;=R$7,DATE(2026,12,31)&lt;=R$6,DATE(2026,12,31)&gt;$C$7),1,0)</f>
        <v>0</v>
      </c>
      <c r="S22" s="114" t="n">
        <f aca="false">IF(AND(DATE(2026,12,31)&gt;=S$7,DATE(2026,12,31)&lt;=S$6,DATE(2026,12,31)&gt;$C$7),1,0)</f>
        <v>0</v>
      </c>
      <c r="T22" s="114" t="n">
        <f aca="false">IF(AND(DATE(2026,12,31)&gt;=T$7,DATE(2026,12,31)&lt;=T$6,DATE(2026,12,31)&gt;$C$7),1,0)</f>
        <v>0</v>
      </c>
      <c r="U22" s="114" t="n">
        <f aca="false">SUM(H22:T22)</f>
        <v>0</v>
      </c>
    </row>
    <row r="23" customFormat="false" ht="15" hidden="false" customHeight="false" outlineLevel="1" collapsed="false">
      <c r="A23" s="13" t="s">
        <v>687</v>
      </c>
      <c r="H23" s="114" t="n">
        <f aca="false">IF(AND(DATE(2026,9,21)&gt;=H$7,DATE(2026,9,21)&lt;=H$6,DATE(2026,9,21)&gt;$C$7),1,0)</f>
        <v>0</v>
      </c>
      <c r="I23" s="114" t="n">
        <f aca="false">IF(AND(DATE(2026,9,21)&gt;=I$7,DATE(2026,9,21)&lt;=I$6,DATE(2026,9,21)&gt;$C$7),1,0)</f>
        <v>1</v>
      </c>
      <c r="J23" s="114" t="n">
        <f aca="false">IF(AND(DATE(2026,9,21)&gt;=J$7,DATE(2026,9,21)&lt;=J$6,DATE(2026,9,21)&gt;$C$7),1,0)</f>
        <v>0</v>
      </c>
      <c r="K23" s="114" t="n">
        <f aca="false">IF(AND(DATE(2026,9,21)&gt;=K$7,DATE(2026,9,21)&lt;=K$6,DATE(2026,9,21)&gt;$C$7),1,0)</f>
        <v>0</v>
      </c>
      <c r="L23" s="114" t="n">
        <f aca="false">IF(AND(DATE(2026,9,21)&gt;=L$7,DATE(2026,9,21)&lt;=L$6,DATE(2026,9,21)&gt;$C$7),1,0)</f>
        <v>0</v>
      </c>
      <c r="M23" s="114" t="n">
        <f aca="false">IF(AND(DATE(2026,9,21)&gt;=M$7,DATE(2026,9,21)&lt;=M$6,DATE(2026,9,21)&gt;$C$7),1,0)</f>
        <v>0</v>
      </c>
      <c r="N23" s="114" t="n">
        <f aca="false">IF(AND(DATE(2026,9,21)&gt;=N$7,DATE(2026,9,21)&lt;=N$6,DATE(2026,9,21)&gt;$C$7),1,0)</f>
        <v>0</v>
      </c>
      <c r="O23" s="114" t="n">
        <f aca="false">IF(AND(DATE(2026,9,21)&gt;=O$7,DATE(2026,9,21)&lt;=O$6,DATE(2026,9,21)&gt;$C$7),1,0)</f>
        <v>0</v>
      </c>
      <c r="P23" s="114" t="n">
        <f aca="false">IF(AND(DATE(2026,9,21)&gt;=P$7,DATE(2026,9,21)&lt;=P$6,DATE(2026,9,21)&gt;$C$7),1,0)</f>
        <v>0</v>
      </c>
      <c r="Q23" s="114" t="n">
        <f aca="false">IF(AND(DATE(2026,9,21)&gt;=Q$7,DATE(2026,9,21)&lt;=Q$6,DATE(2026,9,21)&gt;$C$7),1,0)</f>
        <v>0</v>
      </c>
      <c r="R23" s="114" t="n">
        <f aca="false">IF(AND(DATE(2026,9,21)&gt;=R$7,DATE(2026,9,21)&lt;=R$6,DATE(2026,9,21)&gt;$C$7),1,0)</f>
        <v>0</v>
      </c>
      <c r="S23" s="114" t="n">
        <f aca="false">IF(AND(DATE(2026,9,21)&gt;=S$7,DATE(2026,9,21)&lt;=S$6,DATE(2026,9,21)&gt;$C$7),1,0)</f>
        <v>0</v>
      </c>
      <c r="T23" s="114" t="n">
        <f aca="false">IF(AND(DATE(2026,9,21)&gt;=T$7,DATE(2026,9,21)&lt;=T$6,DATE(2026,9,21)&gt;$C$7),1,0)</f>
        <v>0</v>
      </c>
      <c r="U23" s="114" t="n">
        <f aca="false">SUM(H23:T23)</f>
        <v>1</v>
      </c>
    </row>
    <row r="24" customFormat="false" ht="15" hidden="false" customHeight="false" outlineLevel="1" collapsed="false">
      <c r="A24" s="13" t="s">
        <v>688</v>
      </c>
      <c r="H24" s="114" t="n">
        <f aca="false">IF(AND(DATE(2026,10,20)&gt;=H$7,DATE(2026,10,20)&lt;=H$6,DATE(2026,10,20)&gt;$C$7),1,0)</f>
        <v>0</v>
      </c>
      <c r="I24" s="114" t="n">
        <f aca="false">IF(AND(DATE(2026,10,20)&gt;=I$7,DATE(2026,10,20)&lt;=I$6,DATE(2026,10,20)&gt;$C$7),1,0)</f>
        <v>0</v>
      </c>
      <c r="J24" s="114" t="n">
        <f aca="false">IF(AND(DATE(2026,10,20)&gt;=J$7,DATE(2026,10,20)&lt;=J$6,DATE(2026,10,20)&gt;$C$7),1,0)</f>
        <v>0</v>
      </c>
      <c r="K24" s="114" t="n">
        <f aca="false">IF(AND(DATE(2026,10,20)&gt;=K$7,DATE(2026,10,20)&lt;=K$6,DATE(2026,10,20)&gt;$C$7),1,0)</f>
        <v>0</v>
      </c>
      <c r="L24" s="114" t="n">
        <f aca="false">IF(AND(DATE(2026,10,20)&gt;=L$7,DATE(2026,10,20)&lt;=L$6,DATE(2026,10,20)&gt;$C$7),1,0)</f>
        <v>0</v>
      </c>
      <c r="M24" s="114" t="n">
        <f aca="false">IF(AND(DATE(2026,10,20)&gt;=M$7,DATE(2026,10,20)&lt;=M$6,DATE(2026,10,20)&gt;$C$7),1,0)</f>
        <v>1</v>
      </c>
      <c r="N24" s="114" t="n">
        <f aca="false">IF(AND(DATE(2026,10,20)&gt;=N$7,DATE(2026,10,20)&lt;=N$6,DATE(2026,10,20)&gt;$C$7),1,0)</f>
        <v>0</v>
      </c>
      <c r="O24" s="114" t="n">
        <f aca="false">IF(AND(DATE(2026,10,20)&gt;=O$7,DATE(2026,10,20)&lt;=O$6,DATE(2026,10,20)&gt;$C$7),1,0)</f>
        <v>0</v>
      </c>
      <c r="P24" s="114" t="n">
        <f aca="false">IF(AND(DATE(2026,10,20)&gt;=P$7,DATE(2026,10,20)&lt;=P$6,DATE(2026,10,20)&gt;$C$7),1,0)</f>
        <v>0</v>
      </c>
      <c r="Q24" s="114" t="n">
        <f aca="false">IF(AND(DATE(2026,10,20)&gt;=Q$7,DATE(2026,10,20)&lt;=Q$6,DATE(2026,10,20)&gt;$C$7),1,0)</f>
        <v>0</v>
      </c>
      <c r="R24" s="114" t="n">
        <f aca="false">IF(AND(DATE(2026,10,20)&gt;=R$7,DATE(2026,10,20)&lt;=R$6,DATE(2026,10,20)&gt;$C$7),1,0)</f>
        <v>0</v>
      </c>
      <c r="S24" s="114" t="n">
        <f aca="false">IF(AND(DATE(2026,10,20)&gt;=S$7,DATE(2026,10,20)&lt;=S$6,DATE(2026,10,20)&gt;$C$7),1,0)</f>
        <v>0</v>
      </c>
      <c r="T24" s="114" t="n">
        <f aca="false">IF(AND(DATE(2026,10,20)&gt;=T$7,DATE(2026,10,20)&lt;=T$6,DATE(2026,10,20)&gt;$C$7),1,0)</f>
        <v>0</v>
      </c>
      <c r="U24" s="114" t="n">
        <f aca="false">SUM(H24:T24)</f>
        <v>1</v>
      </c>
    </row>
    <row r="25" customFormat="false" ht="15" hidden="false" customHeight="false" outlineLevel="1" collapsed="false">
      <c r="A25" s="13" t="s">
        <v>689</v>
      </c>
      <c r="H25" s="114" t="n">
        <f aca="false">IF(AND(DATE(2026,11,20)&gt;=H$7,DATE(2026,11,20)&lt;=H$6,DATE(2026,11,20)&gt;$C$7),1,0)</f>
        <v>0</v>
      </c>
      <c r="I25" s="114" t="n">
        <f aca="false">IF(AND(DATE(2026,11,20)&gt;=I$7,DATE(2026,11,20)&lt;=I$6,DATE(2026,11,20)&gt;$C$7),1,0)</f>
        <v>0</v>
      </c>
      <c r="J25" s="114" t="n">
        <f aca="false">IF(AND(DATE(2026,11,20)&gt;=J$7,DATE(2026,11,20)&lt;=J$6,DATE(2026,11,20)&gt;$C$7),1,0)</f>
        <v>0</v>
      </c>
      <c r="K25" s="114" t="n">
        <f aca="false">IF(AND(DATE(2026,11,20)&gt;=K$7,DATE(2026,11,20)&lt;=K$6,DATE(2026,11,20)&gt;$C$7),1,0)</f>
        <v>0</v>
      </c>
      <c r="L25" s="114" t="n">
        <f aca="false">IF(AND(DATE(2026,11,20)&gt;=L$7,DATE(2026,11,20)&lt;=L$6,DATE(2026,11,20)&gt;$C$7),1,0)</f>
        <v>0</v>
      </c>
      <c r="M25" s="114" t="n">
        <f aca="false">IF(AND(DATE(2026,11,20)&gt;=M$7,DATE(2026,11,20)&lt;=M$6,DATE(2026,11,20)&gt;$C$7),1,0)</f>
        <v>0</v>
      </c>
      <c r="N25" s="114" t="n">
        <f aca="false">IF(AND(DATE(2026,11,20)&gt;=N$7,DATE(2026,11,20)&lt;=N$6,DATE(2026,11,20)&gt;$C$7),1,0)</f>
        <v>0</v>
      </c>
      <c r="O25" s="114" t="n">
        <f aca="false">IF(AND(DATE(2026,11,20)&gt;=O$7,DATE(2026,11,20)&lt;=O$6,DATE(2026,11,20)&gt;$C$7),1,0)</f>
        <v>0</v>
      </c>
      <c r="P25" s="114" t="n">
        <f aca="false">IF(AND(DATE(2026,11,20)&gt;=P$7,DATE(2026,11,20)&lt;=P$6,DATE(2026,11,20)&gt;$C$7),1,0)</f>
        <v>0</v>
      </c>
      <c r="Q25" s="114" t="n">
        <f aca="false">IF(AND(DATE(2026,11,20)&gt;=Q$7,DATE(2026,11,20)&lt;=Q$6,DATE(2026,11,20)&gt;$C$7),1,0)</f>
        <v>1</v>
      </c>
      <c r="R25" s="114" t="n">
        <f aca="false">IF(AND(DATE(2026,11,20)&gt;=R$7,DATE(2026,11,20)&lt;=R$6,DATE(2026,11,20)&gt;$C$7),1,0)</f>
        <v>0</v>
      </c>
      <c r="S25" s="114" t="n">
        <f aca="false">IF(AND(DATE(2026,11,20)&gt;=S$7,DATE(2026,11,20)&lt;=S$6,DATE(2026,11,20)&gt;$C$7),1,0)</f>
        <v>0</v>
      </c>
      <c r="T25" s="114" t="n">
        <f aca="false">IF(AND(DATE(2026,11,20)&gt;=T$7,DATE(2026,11,20)&lt;=T$6,DATE(2026,11,20)&gt;$C$7),1,0)</f>
        <v>0</v>
      </c>
      <c r="U25" s="114" t="n">
        <f aca="false">SUM(H25:T25)</f>
        <v>1</v>
      </c>
    </row>
    <row r="26" customFormat="false" ht="15" hidden="false" customHeight="false" outlineLevel="1" collapsed="false">
      <c r="A26" s="13" t="s">
        <v>690</v>
      </c>
      <c r="H26" s="114" t="n">
        <f aca="false">IF(AND(DATE(2026,12,21)&gt;=H$7,DATE(2026,12,21)&lt;=H$6,DATE(2026,12,21)&gt;$C$7),1,0)</f>
        <v>0</v>
      </c>
      <c r="I26" s="114" t="n">
        <f aca="false">IF(AND(DATE(2026,12,21)&gt;=I$7,DATE(2026,12,21)&lt;=I$6,DATE(2026,12,21)&gt;$C$7),1,0)</f>
        <v>0</v>
      </c>
      <c r="J26" s="114" t="n">
        <f aca="false">IF(AND(DATE(2026,12,21)&gt;=J$7,DATE(2026,12,21)&lt;=J$6,DATE(2026,12,21)&gt;$C$7),1,0)</f>
        <v>0</v>
      </c>
      <c r="K26" s="114" t="n">
        <f aca="false">IF(AND(DATE(2026,12,21)&gt;=K$7,DATE(2026,12,21)&lt;=K$6,DATE(2026,12,21)&gt;$C$7),1,0)</f>
        <v>0</v>
      </c>
      <c r="L26" s="114" t="n">
        <f aca="false">IF(AND(DATE(2026,12,21)&gt;=L$7,DATE(2026,12,21)&lt;=L$6,DATE(2026,12,21)&gt;$C$7),1,0)</f>
        <v>0</v>
      </c>
      <c r="M26" s="114" t="n">
        <f aca="false">IF(AND(DATE(2026,12,21)&gt;=M$7,DATE(2026,12,21)&lt;=M$6,DATE(2026,12,21)&gt;$C$7),1,0)</f>
        <v>0</v>
      </c>
      <c r="N26" s="114" t="n">
        <f aca="false">IF(AND(DATE(2026,12,21)&gt;=N$7,DATE(2026,12,21)&lt;=N$6,DATE(2026,12,21)&gt;$C$7),1,0)</f>
        <v>0</v>
      </c>
      <c r="O26" s="114" t="n">
        <f aca="false">IF(AND(DATE(2026,12,21)&gt;=O$7,DATE(2026,12,21)&lt;=O$6,DATE(2026,12,21)&gt;$C$7),1,0)</f>
        <v>0</v>
      </c>
      <c r="P26" s="114" t="n">
        <f aca="false">IF(AND(DATE(2026,12,21)&gt;=P$7,DATE(2026,12,21)&lt;=P$6,DATE(2026,12,21)&gt;$C$7),1,0)</f>
        <v>0</v>
      </c>
      <c r="Q26" s="114" t="n">
        <f aca="false">IF(AND(DATE(2026,12,21)&gt;=Q$7,DATE(2026,12,21)&lt;=Q$6,DATE(2026,12,21)&gt;$C$7),1,0)</f>
        <v>0</v>
      </c>
      <c r="R26" s="114" t="n">
        <f aca="false">IF(AND(DATE(2026,12,21)&gt;=R$7,DATE(2026,12,21)&lt;=R$6,DATE(2026,12,21)&gt;$C$7),1,0)</f>
        <v>0</v>
      </c>
      <c r="S26" s="114" t="n">
        <f aca="false">IF(AND(DATE(2026,12,21)&gt;=S$7,DATE(2026,12,21)&lt;=S$6,DATE(2026,12,21)&gt;$C$7),1,0)</f>
        <v>0</v>
      </c>
      <c r="T26" s="114" t="n">
        <f aca="false">IF(AND(DATE(2026,12,21)&gt;=T$7,DATE(2026,12,21)&lt;=T$6,DATE(2026,12,21)&gt;$C$7),1,0)</f>
        <v>0</v>
      </c>
      <c r="U26" s="114" t="n">
        <f aca="false">SUM(H26:T26)</f>
        <v>0</v>
      </c>
    </row>
    <row r="27" customFormat="false" ht="15" hidden="false" customHeight="false" outlineLevel="1" collapsed="false">
      <c r="A27" s="13" t="s">
        <v>691</v>
      </c>
      <c r="H27" s="114" t="n">
        <f aca="false">IF(AND(DATE(2026,9,25)&gt;=H$7,DATE(2026,9,25)&lt;=H$6,DATE(2026,9,25)&gt;$C$7),1,0)</f>
        <v>0</v>
      </c>
      <c r="I27" s="114" t="n">
        <f aca="false">IF(AND(DATE(2026,9,25)&gt;=I$7,DATE(2026,9,25)&lt;=I$6,DATE(2026,9,25)&gt;$C$7),1,0)</f>
        <v>1</v>
      </c>
      <c r="J27" s="114" t="n">
        <f aca="false">IF(AND(DATE(2026,9,25)&gt;=J$7,DATE(2026,9,25)&lt;=J$6,DATE(2026,9,25)&gt;$C$7),1,0)</f>
        <v>0</v>
      </c>
      <c r="K27" s="114" t="n">
        <f aca="false">IF(AND(DATE(2026,9,25)&gt;=K$7,DATE(2026,9,25)&lt;=K$6,DATE(2026,9,25)&gt;$C$7),1,0)</f>
        <v>0</v>
      </c>
      <c r="L27" s="114" t="n">
        <f aca="false">IF(AND(DATE(2026,9,25)&gt;=L$7,DATE(2026,9,25)&lt;=L$6,DATE(2026,9,25)&gt;$C$7),1,0)</f>
        <v>0</v>
      </c>
      <c r="M27" s="114" t="n">
        <f aca="false">IF(AND(DATE(2026,9,25)&gt;=M$7,DATE(2026,9,25)&lt;=M$6,DATE(2026,9,25)&gt;$C$7),1,0)</f>
        <v>0</v>
      </c>
      <c r="N27" s="114" t="n">
        <f aca="false">IF(AND(DATE(2026,9,25)&gt;=N$7,DATE(2026,9,25)&lt;=N$6,DATE(2026,9,25)&gt;$C$7),1,0)</f>
        <v>0</v>
      </c>
      <c r="O27" s="114" t="n">
        <f aca="false">IF(AND(DATE(2026,9,25)&gt;=O$7,DATE(2026,9,25)&lt;=O$6,DATE(2026,9,25)&gt;$C$7),1,0)</f>
        <v>0</v>
      </c>
      <c r="P27" s="114" t="n">
        <f aca="false">IF(AND(DATE(2026,9,25)&gt;=P$7,DATE(2026,9,25)&lt;=P$6,DATE(2026,9,25)&gt;$C$7),1,0)</f>
        <v>0</v>
      </c>
      <c r="Q27" s="114" t="n">
        <f aca="false">IF(AND(DATE(2026,9,25)&gt;=Q$7,DATE(2026,9,25)&lt;=Q$6,DATE(2026,9,25)&gt;$C$7),1,0)</f>
        <v>0</v>
      </c>
      <c r="R27" s="114" t="n">
        <f aca="false">IF(AND(DATE(2026,9,25)&gt;=R$7,DATE(2026,9,25)&lt;=R$6,DATE(2026,9,25)&gt;$C$7),1,0)</f>
        <v>0</v>
      </c>
      <c r="S27" s="114" t="n">
        <f aca="false">IF(AND(DATE(2026,9,25)&gt;=S$7,DATE(2026,9,25)&lt;=S$6,DATE(2026,9,25)&gt;$C$7),1,0)</f>
        <v>0</v>
      </c>
      <c r="T27" s="114" t="n">
        <f aca="false">IF(AND(DATE(2026,9,25)&gt;=T$7,DATE(2026,9,25)&lt;=T$6,DATE(2026,9,25)&gt;$C$7),1,0)</f>
        <v>0</v>
      </c>
      <c r="U27" s="114" t="n">
        <f aca="false">SUM(H27:T27)</f>
        <v>1</v>
      </c>
    </row>
    <row r="28" customFormat="false" ht="15" hidden="false" customHeight="false" outlineLevel="1" collapsed="false">
      <c r="A28" s="13" t="s">
        <v>692</v>
      </c>
      <c r="H28" s="114" t="n">
        <f aca="false">IF(AND(DATE(2026,10,26)&gt;=H$7,DATE(2026,10,26)&lt;=H$6,DATE(2026,10,26)&gt;$C$7),1,0)</f>
        <v>0</v>
      </c>
      <c r="I28" s="114" t="n">
        <f aca="false">IF(AND(DATE(2026,10,26)&gt;=I$7,DATE(2026,10,26)&lt;=I$6,DATE(2026,10,26)&gt;$C$7),1,0)</f>
        <v>0</v>
      </c>
      <c r="J28" s="114" t="n">
        <f aca="false">IF(AND(DATE(2026,10,26)&gt;=J$7,DATE(2026,10,26)&lt;=J$6,DATE(2026,10,26)&gt;$C$7),1,0)</f>
        <v>0</v>
      </c>
      <c r="K28" s="114" t="n">
        <f aca="false">IF(AND(DATE(2026,10,26)&gt;=K$7,DATE(2026,10,26)&lt;=K$6,DATE(2026,10,26)&gt;$C$7),1,0)</f>
        <v>0</v>
      </c>
      <c r="L28" s="114" t="n">
        <f aca="false">IF(AND(DATE(2026,10,26)&gt;=L$7,DATE(2026,10,26)&lt;=L$6,DATE(2026,10,26)&gt;$C$7),1,0)</f>
        <v>0</v>
      </c>
      <c r="M28" s="114" t="n">
        <f aca="false">IF(AND(DATE(2026,10,26)&gt;=M$7,DATE(2026,10,26)&lt;=M$6,DATE(2026,10,26)&gt;$C$7),1,0)</f>
        <v>0</v>
      </c>
      <c r="N28" s="114" t="n">
        <f aca="false">IF(AND(DATE(2026,10,26)&gt;=N$7,DATE(2026,10,26)&lt;=N$6,DATE(2026,10,26)&gt;$C$7),1,0)</f>
        <v>1</v>
      </c>
      <c r="O28" s="114" t="n">
        <f aca="false">IF(AND(DATE(2026,10,26)&gt;=O$7,DATE(2026,10,26)&lt;=O$6,DATE(2026,10,26)&gt;$C$7),1,0)</f>
        <v>0</v>
      </c>
      <c r="P28" s="114" t="n">
        <f aca="false">IF(AND(DATE(2026,10,26)&gt;=P$7,DATE(2026,10,26)&lt;=P$6,DATE(2026,10,26)&gt;$C$7),1,0)</f>
        <v>0</v>
      </c>
      <c r="Q28" s="114" t="n">
        <f aca="false">IF(AND(DATE(2026,10,26)&gt;=Q$7,DATE(2026,10,26)&lt;=Q$6,DATE(2026,10,26)&gt;$C$7),1,0)</f>
        <v>0</v>
      </c>
      <c r="R28" s="114" t="n">
        <f aca="false">IF(AND(DATE(2026,10,26)&gt;=R$7,DATE(2026,10,26)&lt;=R$6,DATE(2026,10,26)&gt;$C$7),1,0)</f>
        <v>0</v>
      </c>
      <c r="S28" s="114" t="n">
        <f aca="false">IF(AND(DATE(2026,10,26)&gt;=S$7,DATE(2026,10,26)&lt;=S$6,DATE(2026,10,26)&gt;$C$7),1,0)</f>
        <v>0</v>
      </c>
      <c r="T28" s="114" t="n">
        <f aca="false">IF(AND(DATE(2026,10,26)&gt;=T$7,DATE(2026,10,26)&lt;=T$6,DATE(2026,10,26)&gt;$C$7),1,0)</f>
        <v>0</v>
      </c>
      <c r="U28" s="114" t="n">
        <f aca="false">SUM(H28:T28)</f>
        <v>1</v>
      </c>
    </row>
    <row r="29" customFormat="false" ht="15" hidden="false" customHeight="false" outlineLevel="1" collapsed="false">
      <c r="A29" s="13" t="s">
        <v>693</v>
      </c>
      <c r="H29" s="114" t="n">
        <f aca="false">IF(AND(DATE(2026,11,25)&gt;=H$7,DATE(2026,11,25)&lt;=H$6,DATE(2026,11,25)&gt;$C$7),1,0)</f>
        <v>0</v>
      </c>
      <c r="I29" s="114" t="n">
        <f aca="false">IF(AND(DATE(2026,11,25)&gt;=I$7,DATE(2026,11,25)&lt;=I$6,DATE(2026,11,25)&gt;$C$7),1,0)</f>
        <v>0</v>
      </c>
      <c r="J29" s="114" t="n">
        <f aca="false">IF(AND(DATE(2026,11,25)&gt;=J$7,DATE(2026,11,25)&lt;=J$6,DATE(2026,11,25)&gt;$C$7),1,0)</f>
        <v>0</v>
      </c>
      <c r="K29" s="114" t="n">
        <f aca="false">IF(AND(DATE(2026,11,25)&gt;=K$7,DATE(2026,11,25)&lt;=K$6,DATE(2026,11,25)&gt;$C$7),1,0)</f>
        <v>0</v>
      </c>
      <c r="L29" s="114" t="n">
        <f aca="false">IF(AND(DATE(2026,11,25)&gt;=L$7,DATE(2026,11,25)&lt;=L$6,DATE(2026,11,25)&gt;$C$7),1,0)</f>
        <v>0</v>
      </c>
      <c r="M29" s="114" t="n">
        <f aca="false">IF(AND(DATE(2026,11,25)&gt;=M$7,DATE(2026,11,25)&lt;=M$6,DATE(2026,11,25)&gt;$C$7),1,0)</f>
        <v>0</v>
      </c>
      <c r="N29" s="114" t="n">
        <f aca="false">IF(AND(DATE(2026,11,25)&gt;=N$7,DATE(2026,11,25)&lt;=N$6,DATE(2026,11,25)&gt;$C$7),1,0)</f>
        <v>0</v>
      </c>
      <c r="O29" s="114" t="n">
        <f aca="false">IF(AND(DATE(2026,11,25)&gt;=O$7,DATE(2026,11,25)&lt;=O$6,DATE(2026,11,25)&gt;$C$7),1,0)</f>
        <v>0</v>
      </c>
      <c r="P29" s="114" t="n">
        <f aca="false">IF(AND(DATE(2026,11,25)&gt;=P$7,DATE(2026,11,25)&lt;=P$6,DATE(2026,11,25)&gt;$C$7),1,0)</f>
        <v>0</v>
      </c>
      <c r="Q29" s="114" t="n">
        <f aca="false">IF(AND(DATE(2026,11,25)&gt;=Q$7,DATE(2026,11,25)&lt;=Q$6,DATE(2026,11,25)&gt;$C$7),1,0)</f>
        <v>0</v>
      </c>
      <c r="R29" s="114" t="n">
        <f aca="false">IF(AND(DATE(2026,11,25)&gt;=R$7,DATE(2026,11,25)&lt;=R$6,DATE(2026,11,25)&gt;$C$7),1,0)</f>
        <v>1</v>
      </c>
      <c r="S29" s="114" t="n">
        <f aca="false">IF(AND(DATE(2026,11,25)&gt;=S$7,DATE(2026,11,25)&lt;=S$6,DATE(2026,11,25)&gt;$C$7),1,0)</f>
        <v>0</v>
      </c>
      <c r="T29" s="114" t="n">
        <f aca="false">IF(AND(DATE(2026,11,25)&gt;=T$7,DATE(2026,11,25)&lt;=T$6,DATE(2026,11,25)&gt;$C$7),1,0)</f>
        <v>0</v>
      </c>
      <c r="U29" s="114" t="n">
        <f aca="false">SUM(H29:T29)</f>
        <v>1</v>
      </c>
    </row>
    <row r="30" customFormat="false" ht="15" hidden="false" customHeight="false" outlineLevel="1" collapsed="false">
      <c r="A30" s="13" t="s">
        <v>694</v>
      </c>
      <c r="H30" s="114" t="n">
        <f aca="false">IF(AND(DATE(2026,12,28)&gt;=H$7,DATE(2026,12,28)&lt;=H$6,DATE(2026,12,28)&gt;$C$7),1,0)</f>
        <v>0</v>
      </c>
      <c r="I30" s="114" t="n">
        <f aca="false">IF(AND(DATE(2026,12,28)&gt;=I$7,DATE(2026,12,28)&lt;=I$6,DATE(2026,12,28)&gt;$C$7),1,0)</f>
        <v>0</v>
      </c>
      <c r="J30" s="114" t="n">
        <f aca="false">IF(AND(DATE(2026,12,28)&gt;=J$7,DATE(2026,12,28)&lt;=J$6,DATE(2026,12,28)&gt;$C$7),1,0)</f>
        <v>0</v>
      </c>
      <c r="K30" s="114" t="n">
        <f aca="false">IF(AND(DATE(2026,12,28)&gt;=K$7,DATE(2026,12,28)&lt;=K$6,DATE(2026,12,28)&gt;$C$7),1,0)</f>
        <v>0</v>
      </c>
      <c r="L30" s="114" t="n">
        <f aca="false">IF(AND(DATE(2026,12,28)&gt;=L$7,DATE(2026,12,28)&lt;=L$6,DATE(2026,12,28)&gt;$C$7),1,0)</f>
        <v>0</v>
      </c>
      <c r="M30" s="114" t="n">
        <f aca="false">IF(AND(DATE(2026,12,28)&gt;=M$7,DATE(2026,12,28)&lt;=M$6,DATE(2026,12,28)&gt;$C$7),1,0)</f>
        <v>0</v>
      </c>
      <c r="N30" s="114" t="n">
        <f aca="false">IF(AND(DATE(2026,12,28)&gt;=N$7,DATE(2026,12,28)&lt;=N$6,DATE(2026,12,28)&gt;$C$7),1,0)</f>
        <v>0</v>
      </c>
      <c r="O30" s="114" t="n">
        <f aca="false">IF(AND(DATE(2026,12,28)&gt;=O$7,DATE(2026,12,28)&lt;=O$6,DATE(2026,12,28)&gt;$C$7),1,0)</f>
        <v>0</v>
      </c>
      <c r="P30" s="114" t="n">
        <f aca="false">IF(AND(DATE(2026,12,28)&gt;=P$7,DATE(2026,12,28)&lt;=P$6,DATE(2026,12,28)&gt;$C$7),1,0)</f>
        <v>0</v>
      </c>
      <c r="Q30" s="114" t="n">
        <f aca="false">IF(AND(DATE(2026,12,28)&gt;=Q$7,DATE(2026,12,28)&lt;=Q$6,DATE(2026,12,28)&gt;$C$7),1,0)</f>
        <v>0</v>
      </c>
      <c r="R30" s="114" t="n">
        <f aca="false">IF(AND(DATE(2026,12,28)&gt;=R$7,DATE(2026,12,28)&lt;=R$6,DATE(2026,12,28)&gt;$C$7),1,0)</f>
        <v>0</v>
      </c>
      <c r="S30" s="114" t="n">
        <f aca="false">IF(AND(DATE(2026,12,28)&gt;=S$7,DATE(2026,12,28)&lt;=S$6,DATE(2026,12,28)&gt;$C$7),1,0)</f>
        <v>0</v>
      </c>
      <c r="T30" s="114" t="n">
        <f aca="false">IF(AND(DATE(2026,12,28)&gt;=T$7,DATE(2026,12,28)&lt;=T$6,DATE(2026,12,28)&gt;$C$7),1,0)</f>
        <v>0</v>
      </c>
      <c r="U30" s="114" t="n">
        <f aca="false">SUM(H30:T30)</f>
        <v>0</v>
      </c>
    </row>
    <row r="31" customFormat="false" ht="15" hidden="false" customHeight="false" outlineLevel="1" collapsed="false">
      <c r="A31" s="13" t="s">
        <v>695</v>
      </c>
      <c r="H31" s="114" t="n">
        <f aca="false">IF(AND(DATE(2026,9,15)&gt;=H$7,DATE(2026,9,15)&lt;=H$6,DATE(2026,9,15)&gt;$C$7),1,0)</f>
        <v>1</v>
      </c>
      <c r="I31" s="114" t="n">
        <f aca="false">IF(AND(DATE(2026,9,15)&gt;=I$7,DATE(2026,9,15)&lt;=I$6,DATE(2026,9,15)&gt;$C$7),1,0)</f>
        <v>0</v>
      </c>
      <c r="J31" s="114" t="n">
        <f aca="false">IF(AND(DATE(2026,9,15)&gt;=J$7,DATE(2026,9,15)&lt;=J$6,DATE(2026,9,15)&gt;$C$7),1,0)</f>
        <v>0</v>
      </c>
      <c r="K31" s="114" t="n">
        <f aca="false">IF(AND(DATE(2026,9,15)&gt;=K$7,DATE(2026,9,15)&lt;=K$6,DATE(2026,9,15)&gt;$C$7),1,0)</f>
        <v>0</v>
      </c>
      <c r="L31" s="114" t="n">
        <f aca="false">IF(AND(DATE(2026,9,15)&gt;=L$7,DATE(2026,9,15)&lt;=L$6,DATE(2026,9,15)&gt;$C$7),1,0)</f>
        <v>0</v>
      </c>
      <c r="M31" s="114" t="n">
        <f aca="false">IF(AND(DATE(2026,9,15)&gt;=M$7,DATE(2026,9,15)&lt;=M$6,DATE(2026,9,15)&gt;$C$7),1,0)</f>
        <v>0</v>
      </c>
      <c r="N31" s="114" t="n">
        <f aca="false">IF(AND(DATE(2026,9,15)&gt;=N$7,DATE(2026,9,15)&lt;=N$6,DATE(2026,9,15)&gt;$C$7),1,0)</f>
        <v>0</v>
      </c>
      <c r="O31" s="114" t="n">
        <f aca="false">IF(AND(DATE(2026,9,15)&gt;=O$7,DATE(2026,9,15)&lt;=O$6,DATE(2026,9,15)&gt;$C$7),1,0)</f>
        <v>0</v>
      </c>
      <c r="P31" s="114" t="n">
        <f aca="false">IF(AND(DATE(2026,9,15)&gt;=P$7,DATE(2026,9,15)&lt;=P$6,DATE(2026,9,15)&gt;$C$7),1,0)</f>
        <v>0</v>
      </c>
      <c r="Q31" s="114" t="n">
        <f aca="false">IF(AND(DATE(2026,9,15)&gt;=Q$7,DATE(2026,9,15)&lt;=Q$6,DATE(2026,9,15)&gt;$C$7),1,0)</f>
        <v>0</v>
      </c>
      <c r="R31" s="114" t="n">
        <f aca="false">IF(AND(DATE(2026,9,15)&gt;=R$7,DATE(2026,9,15)&lt;=R$6,DATE(2026,9,15)&gt;$C$7),1,0)</f>
        <v>0</v>
      </c>
      <c r="S31" s="114" t="n">
        <f aca="false">IF(AND(DATE(2026,9,15)&gt;=S$7,DATE(2026,9,15)&lt;=S$6,DATE(2026,9,15)&gt;$C$7),1,0)</f>
        <v>0</v>
      </c>
      <c r="T31" s="114" t="n">
        <f aca="false">IF(AND(DATE(2026,9,15)&gt;=T$7,DATE(2026,9,15)&lt;=T$6,DATE(2026,9,15)&gt;$C$7),1,0)</f>
        <v>0</v>
      </c>
      <c r="U31" s="114" t="n">
        <f aca="false">SUM(H31:T31)</f>
        <v>1</v>
      </c>
    </row>
    <row r="32" customFormat="false" ht="15" hidden="false" customHeight="false" outlineLevel="1" collapsed="false">
      <c r="A32" s="13" t="s">
        <v>696</v>
      </c>
      <c r="H32" s="114" t="n">
        <f aca="false">IF(AND(DATE(2026,10,15)&gt;=H$7,DATE(2026,10,15)&lt;=H$6,DATE(2026,10,15)&gt;$C$7),1,0)</f>
        <v>0</v>
      </c>
      <c r="I32" s="114" t="n">
        <f aca="false">IF(AND(DATE(2026,10,15)&gt;=I$7,DATE(2026,10,15)&lt;=I$6,DATE(2026,10,15)&gt;$C$7),1,0)</f>
        <v>0</v>
      </c>
      <c r="J32" s="114" t="n">
        <f aca="false">IF(AND(DATE(2026,10,15)&gt;=J$7,DATE(2026,10,15)&lt;=J$6,DATE(2026,10,15)&gt;$C$7),1,0)</f>
        <v>0</v>
      </c>
      <c r="K32" s="114" t="n">
        <f aca="false">IF(AND(DATE(2026,10,15)&gt;=K$7,DATE(2026,10,15)&lt;=K$6,DATE(2026,10,15)&gt;$C$7),1,0)</f>
        <v>0</v>
      </c>
      <c r="L32" s="114" t="n">
        <f aca="false">IF(AND(DATE(2026,10,15)&gt;=L$7,DATE(2026,10,15)&lt;=L$6,DATE(2026,10,15)&gt;$C$7),1,0)</f>
        <v>1</v>
      </c>
      <c r="M32" s="114" t="n">
        <f aca="false">IF(AND(DATE(2026,10,15)&gt;=M$7,DATE(2026,10,15)&lt;=M$6,DATE(2026,10,15)&gt;$C$7),1,0)</f>
        <v>0</v>
      </c>
      <c r="N32" s="114" t="n">
        <f aca="false">IF(AND(DATE(2026,10,15)&gt;=N$7,DATE(2026,10,15)&lt;=N$6,DATE(2026,10,15)&gt;$C$7),1,0)</f>
        <v>0</v>
      </c>
      <c r="O32" s="114" t="n">
        <f aca="false">IF(AND(DATE(2026,10,15)&gt;=O$7,DATE(2026,10,15)&lt;=O$6,DATE(2026,10,15)&gt;$C$7),1,0)</f>
        <v>0</v>
      </c>
      <c r="P32" s="114" t="n">
        <f aca="false">IF(AND(DATE(2026,10,15)&gt;=P$7,DATE(2026,10,15)&lt;=P$6,DATE(2026,10,15)&gt;$C$7),1,0)</f>
        <v>0</v>
      </c>
      <c r="Q32" s="114" t="n">
        <f aca="false">IF(AND(DATE(2026,10,15)&gt;=Q$7,DATE(2026,10,15)&lt;=Q$6,DATE(2026,10,15)&gt;$C$7),1,0)</f>
        <v>0</v>
      </c>
      <c r="R32" s="114" t="n">
        <f aca="false">IF(AND(DATE(2026,10,15)&gt;=R$7,DATE(2026,10,15)&lt;=R$6,DATE(2026,10,15)&gt;$C$7),1,0)</f>
        <v>0</v>
      </c>
      <c r="S32" s="114" t="n">
        <f aca="false">IF(AND(DATE(2026,10,15)&gt;=S$7,DATE(2026,10,15)&lt;=S$6,DATE(2026,10,15)&gt;$C$7),1,0)</f>
        <v>0</v>
      </c>
      <c r="T32" s="114" t="n">
        <f aca="false">IF(AND(DATE(2026,10,15)&gt;=T$7,DATE(2026,10,15)&lt;=T$6,DATE(2026,10,15)&gt;$C$7),1,0)</f>
        <v>0</v>
      </c>
      <c r="U32" s="114" t="n">
        <f aca="false">SUM(H32:T32)</f>
        <v>1</v>
      </c>
    </row>
    <row r="33" customFormat="false" ht="15" hidden="false" customHeight="false" outlineLevel="1" collapsed="false">
      <c r="A33" s="13" t="s">
        <v>697</v>
      </c>
      <c r="H33" s="114" t="n">
        <f aca="false">IF(AND(DATE(2026,11,16)&gt;=H$7,DATE(2026,11,16)&lt;=H$6,DATE(2026,11,16)&gt;$C$7),1,0)</f>
        <v>0</v>
      </c>
      <c r="I33" s="114" t="n">
        <f aca="false">IF(AND(DATE(2026,11,16)&gt;=I$7,DATE(2026,11,16)&lt;=I$6,DATE(2026,11,16)&gt;$C$7),1,0)</f>
        <v>0</v>
      </c>
      <c r="J33" s="114" t="n">
        <f aca="false">IF(AND(DATE(2026,11,16)&gt;=J$7,DATE(2026,11,16)&lt;=J$6,DATE(2026,11,16)&gt;$C$7),1,0)</f>
        <v>0</v>
      </c>
      <c r="K33" s="114" t="n">
        <f aca="false">IF(AND(DATE(2026,11,16)&gt;=K$7,DATE(2026,11,16)&lt;=K$6,DATE(2026,11,16)&gt;$C$7),1,0)</f>
        <v>0</v>
      </c>
      <c r="L33" s="114" t="n">
        <f aca="false">IF(AND(DATE(2026,11,16)&gt;=L$7,DATE(2026,11,16)&lt;=L$6,DATE(2026,11,16)&gt;$C$7),1,0)</f>
        <v>0</v>
      </c>
      <c r="M33" s="114" t="n">
        <f aca="false">IF(AND(DATE(2026,11,16)&gt;=M$7,DATE(2026,11,16)&lt;=M$6,DATE(2026,11,16)&gt;$C$7),1,0)</f>
        <v>0</v>
      </c>
      <c r="N33" s="114" t="n">
        <f aca="false">IF(AND(DATE(2026,11,16)&gt;=N$7,DATE(2026,11,16)&lt;=N$6,DATE(2026,11,16)&gt;$C$7),1,0)</f>
        <v>0</v>
      </c>
      <c r="O33" s="114" t="n">
        <f aca="false">IF(AND(DATE(2026,11,16)&gt;=O$7,DATE(2026,11,16)&lt;=O$6,DATE(2026,11,16)&gt;$C$7),1,0)</f>
        <v>0</v>
      </c>
      <c r="P33" s="114" t="n">
        <f aca="false">IF(AND(DATE(2026,11,16)&gt;=P$7,DATE(2026,11,16)&lt;=P$6,DATE(2026,11,16)&gt;$C$7),1,0)</f>
        <v>0</v>
      </c>
      <c r="Q33" s="114" t="n">
        <f aca="false">IF(AND(DATE(2026,11,16)&gt;=Q$7,DATE(2026,11,16)&lt;=Q$6,DATE(2026,11,16)&gt;$C$7),1,0)</f>
        <v>1</v>
      </c>
      <c r="R33" s="114" t="n">
        <f aca="false">IF(AND(DATE(2026,11,16)&gt;=R$7,DATE(2026,11,16)&lt;=R$6,DATE(2026,11,16)&gt;$C$7),1,0)</f>
        <v>0</v>
      </c>
      <c r="S33" s="114" t="n">
        <f aca="false">IF(AND(DATE(2026,11,16)&gt;=S$7,DATE(2026,11,16)&lt;=S$6,DATE(2026,11,16)&gt;$C$7),1,0)</f>
        <v>0</v>
      </c>
      <c r="T33" s="114" t="n">
        <f aca="false">IF(AND(DATE(2026,11,16)&gt;=T$7,DATE(2026,11,16)&lt;=T$6,DATE(2026,11,16)&gt;$C$7),1,0)</f>
        <v>0</v>
      </c>
      <c r="U33" s="114" t="n">
        <f aca="false">SUM(H33:T33)</f>
        <v>1</v>
      </c>
    </row>
    <row r="34" customFormat="false" ht="15" hidden="false" customHeight="false" outlineLevel="1" collapsed="false">
      <c r="A34" s="13" t="s">
        <v>698</v>
      </c>
      <c r="H34" s="114" t="n">
        <f aca="false">IF(AND(DATE(2026,12,15)&gt;=H$7,DATE(2026,12,15)&lt;=H$6,DATE(2026,12,15)&gt;$C$7),1,0)</f>
        <v>0</v>
      </c>
      <c r="I34" s="114" t="n">
        <f aca="false">IF(AND(DATE(2026,12,15)&gt;=I$7,DATE(2026,12,15)&lt;=I$6,DATE(2026,12,15)&gt;$C$7),1,0)</f>
        <v>0</v>
      </c>
      <c r="J34" s="114" t="n">
        <f aca="false">IF(AND(DATE(2026,12,15)&gt;=J$7,DATE(2026,12,15)&lt;=J$6,DATE(2026,12,15)&gt;$C$7),1,0)</f>
        <v>0</v>
      </c>
      <c r="K34" s="114" t="n">
        <f aca="false">IF(AND(DATE(2026,12,15)&gt;=K$7,DATE(2026,12,15)&lt;=K$6,DATE(2026,12,15)&gt;$C$7),1,0)</f>
        <v>0</v>
      </c>
      <c r="L34" s="114" t="n">
        <f aca="false">IF(AND(DATE(2026,12,15)&gt;=L$7,DATE(2026,12,15)&lt;=L$6,DATE(2026,12,15)&gt;$C$7),1,0)</f>
        <v>0</v>
      </c>
      <c r="M34" s="114" t="n">
        <f aca="false">IF(AND(DATE(2026,12,15)&gt;=M$7,DATE(2026,12,15)&lt;=M$6,DATE(2026,12,15)&gt;$C$7),1,0)</f>
        <v>0</v>
      </c>
      <c r="N34" s="114" t="n">
        <f aca="false">IF(AND(DATE(2026,12,15)&gt;=N$7,DATE(2026,12,15)&lt;=N$6,DATE(2026,12,15)&gt;$C$7),1,0)</f>
        <v>0</v>
      </c>
      <c r="O34" s="114" t="n">
        <f aca="false">IF(AND(DATE(2026,12,15)&gt;=O$7,DATE(2026,12,15)&lt;=O$6,DATE(2026,12,15)&gt;$C$7),1,0)</f>
        <v>0</v>
      </c>
      <c r="P34" s="114" t="n">
        <f aca="false">IF(AND(DATE(2026,12,15)&gt;=P$7,DATE(2026,12,15)&lt;=P$6,DATE(2026,12,15)&gt;$C$7),1,0)</f>
        <v>0</v>
      </c>
      <c r="Q34" s="114" t="n">
        <f aca="false">IF(AND(DATE(2026,12,15)&gt;=Q$7,DATE(2026,12,15)&lt;=Q$6,DATE(2026,12,15)&gt;$C$7),1,0)</f>
        <v>0</v>
      </c>
      <c r="R34" s="114" t="n">
        <f aca="false">IF(AND(DATE(2026,12,15)&gt;=R$7,DATE(2026,12,15)&lt;=R$6,DATE(2026,12,15)&gt;$C$7),1,0)</f>
        <v>0</v>
      </c>
      <c r="S34" s="114" t="n">
        <f aca="false">IF(AND(DATE(2026,12,15)&gt;=S$7,DATE(2026,12,15)&lt;=S$6,DATE(2026,12,15)&gt;$C$7),1,0)</f>
        <v>0</v>
      </c>
      <c r="T34" s="114" t="n">
        <f aca="false">IF(AND(DATE(2026,12,15)&gt;=T$7,DATE(2026,12,15)&lt;=T$6,DATE(2026,12,15)&gt;$C$7),1,0)</f>
        <v>0</v>
      </c>
      <c r="U34" s="114" t="n">
        <f aca="false">SUM(H34:T34)</f>
        <v>0</v>
      </c>
    </row>
    <row r="35" customFormat="false" ht="15" hidden="false" customHeight="false" outlineLevel="1" collapsed="false">
      <c r="A35" s="13" t="s">
        <v>699</v>
      </c>
      <c r="H35" s="114" t="n">
        <f aca="false">IF(AND(DATE(2026,9,30)&gt;=H$7,DATE(2026,9,30)&lt;=H$6,DATE(2026,9,30)&gt;$C$7),1,0)</f>
        <v>0</v>
      </c>
      <c r="I35" s="114" t="n">
        <f aca="false">IF(AND(DATE(2026,9,30)&gt;=I$7,DATE(2026,9,30)&lt;=I$6,DATE(2026,9,30)&gt;$C$7),1,0)</f>
        <v>0</v>
      </c>
      <c r="J35" s="114" t="n">
        <f aca="false">IF(AND(DATE(2026,9,30)&gt;=J$7,DATE(2026,9,30)&lt;=J$6,DATE(2026,9,30)&gt;$C$7),1,0)</f>
        <v>1</v>
      </c>
      <c r="K35" s="114" t="n">
        <f aca="false">IF(AND(DATE(2026,9,30)&gt;=K$7,DATE(2026,9,30)&lt;=K$6,DATE(2026,9,30)&gt;$C$7),1,0)</f>
        <v>0</v>
      </c>
      <c r="L35" s="114" t="n">
        <f aca="false">IF(AND(DATE(2026,9,30)&gt;=L$7,DATE(2026,9,30)&lt;=L$6,DATE(2026,9,30)&gt;$C$7),1,0)</f>
        <v>0</v>
      </c>
      <c r="M35" s="114" t="n">
        <f aca="false">IF(AND(DATE(2026,9,30)&gt;=M$7,DATE(2026,9,30)&lt;=M$6,DATE(2026,9,30)&gt;$C$7),1,0)</f>
        <v>0</v>
      </c>
      <c r="N35" s="114" t="n">
        <f aca="false">IF(AND(DATE(2026,9,30)&gt;=N$7,DATE(2026,9,30)&lt;=N$6,DATE(2026,9,30)&gt;$C$7),1,0)</f>
        <v>0</v>
      </c>
      <c r="O35" s="114" t="n">
        <f aca="false">IF(AND(DATE(2026,9,30)&gt;=O$7,DATE(2026,9,30)&lt;=O$6,DATE(2026,9,30)&gt;$C$7),1,0)</f>
        <v>0</v>
      </c>
      <c r="P35" s="114" t="n">
        <f aca="false">IF(AND(DATE(2026,9,30)&gt;=P$7,DATE(2026,9,30)&lt;=P$6,DATE(2026,9,30)&gt;$C$7),1,0)</f>
        <v>0</v>
      </c>
      <c r="Q35" s="114" t="n">
        <f aca="false">IF(AND(DATE(2026,9,30)&gt;=Q$7,DATE(2026,9,30)&lt;=Q$6,DATE(2026,9,30)&gt;$C$7),1,0)</f>
        <v>0</v>
      </c>
      <c r="R35" s="114" t="n">
        <f aca="false">IF(AND(DATE(2026,9,30)&gt;=R$7,DATE(2026,9,30)&lt;=R$6,DATE(2026,9,30)&gt;$C$7),1,0)</f>
        <v>0</v>
      </c>
      <c r="S35" s="114" t="n">
        <f aca="false">IF(AND(DATE(2026,9,30)&gt;=S$7,DATE(2026,9,30)&lt;=S$6,DATE(2026,9,30)&gt;$C$7),1,0)</f>
        <v>0</v>
      </c>
      <c r="T35" s="114" t="n">
        <f aca="false">IF(AND(DATE(2026,9,30)&gt;=T$7,DATE(2026,9,30)&lt;=T$6,DATE(2026,9,30)&gt;$C$7),1,0)</f>
        <v>0</v>
      </c>
      <c r="U35" s="114" t="n">
        <f aca="false">SUM(H35:T35)</f>
        <v>1</v>
      </c>
    </row>
    <row r="36" customFormat="false" ht="15" hidden="false" customHeight="false" outlineLevel="1" collapsed="false">
      <c r="A36" s="13" t="s">
        <v>700</v>
      </c>
      <c r="H36" s="114" t="n">
        <f aca="false">IF(AND(DATE(2026,10,30)&gt;=H$7,DATE(2026,10,30)&lt;=H$6,DATE(2026,10,30)&gt;$C$7),1,0)</f>
        <v>0</v>
      </c>
      <c r="I36" s="114" t="n">
        <f aca="false">IF(AND(DATE(2026,10,30)&gt;=I$7,DATE(2026,10,30)&lt;=I$6,DATE(2026,10,30)&gt;$C$7),1,0)</f>
        <v>0</v>
      </c>
      <c r="J36" s="114" t="n">
        <f aca="false">IF(AND(DATE(2026,10,30)&gt;=J$7,DATE(2026,10,30)&lt;=J$6,DATE(2026,10,30)&gt;$C$7),1,0)</f>
        <v>0</v>
      </c>
      <c r="K36" s="114" t="n">
        <f aca="false">IF(AND(DATE(2026,10,30)&gt;=K$7,DATE(2026,10,30)&lt;=K$6,DATE(2026,10,30)&gt;$C$7),1,0)</f>
        <v>0</v>
      </c>
      <c r="L36" s="114" t="n">
        <f aca="false">IF(AND(DATE(2026,10,30)&gt;=L$7,DATE(2026,10,30)&lt;=L$6,DATE(2026,10,30)&gt;$C$7),1,0)</f>
        <v>0</v>
      </c>
      <c r="M36" s="114" t="n">
        <f aca="false">IF(AND(DATE(2026,10,30)&gt;=M$7,DATE(2026,10,30)&lt;=M$6,DATE(2026,10,30)&gt;$C$7),1,0)</f>
        <v>0</v>
      </c>
      <c r="N36" s="114" t="n">
        <f aca="false">IF(AND(DATE(2026,10,30)&gt;=N$7,DATE(2026,10,30)&lt;=N$6,DATE(2026,10,30)&gt;$C$7),1,0)</f>
        <v>1</v>
      </c>
      <c r="O36" s="114" t="n">
        <f aca="false">IF(AND(DATE(2026,10,30)&gt;=O$7,DATE(2026,10,30)&lt;=O$6,DATE(2026,10,30)&gt;$C$7),1,0)</f>
        <v>0</v>
      </c>
      <c r="P36" s="114" t="n">
        <f aca="false">IF(AND(DATE(2026,10,30)&gt;=P$7,DATE(2026,10,30)&lt;=P$6,DATE(2026,10,30)&gt;$C$7),1,0)</f>
        <v>0</v>
      </c>
      <c r="Q36" s="114" t="n">
        <f aca="false">IF(AND(DATE(2026,10,30)&gt;=Q$7,DATE(2026,10,30)&lt;=Q$6,DATE(2026,10,30)&gt;$C$7),1,0)</f>
        <v>0</v>
      </c>
      <c r="R36" s="114" t="n">
        <f aca="false">IF(AND(DATE(2026,10,30)&gt;=R$7,DATE(2026,10,30)&lt;=R$6,DATE(2026,10,30)&gt;$C$7),1,0)</f>
        <v>0</v>
      </c>
      <c r="S36" s="114" t="n">
        <f aca="false">IF(AND(DATE(2026,10,30)&gt;=S$7,DATE(2026,10,30)&lt;=S$6,DATE(2026,10,30)&gt;$C$7),1,0)</f>
        <v>0</v>
      </c>
      <c r="T36" s="114" t="n">
        <f aca="false">IF(AND(DATE(2026,10,30)&gt;=T$7,DATE(2026,10,30)&lt;=T$6,DATE(2026,10,30)&gt;$C$7),1,0)</f>
        <v>0</v>
      </c>
      <c r="U36" s="114" t="n">
        <f aca="false">SUM(H36:T36)</f>
        <v>1</v>
      </c>
    </row>
    <row r="37" customFormat="false" ht="15" hidden="false" customHeight="false" outlineLevel="1" collapsed="false">
      <c r="A37" s="13" t="s">
        <v>701</v>
      </c>
      <c r="H37" s="114" t="n">
        <f aca="false">IF(AND(DATE(2026,11,30)&gt;=H$7,DATE(2026,11,30)&lt;=H$6,DATE(2026,11,30)&gt;$C$7),1,0)</f>
        <v>0</v>
      </c>
      <c r="I37" s="114" t="n">
        <f aca="false">IF(AND(DATE(2026,11,30)&gt;=I$7,DATE(2026,11,30)&lt;=I$6,DATE(2026,11,30)&gt;$C$7),1,0)</f>
        <v>0</v>
      </c>
      <c r="J37" s="114" t="n">
        <f aca="false">IF(AND(DATE(2026,11,30)&gt;=J$7,DATE(2026,11,30)&lt;=J$6,DATE(2026,11,30)&gt;$C$7),1,0)</f>
        <v>0</v>
      </c>
      <c r="K37" s="114" t="n">
        <f aca="false">IF(AND(DATE(2026,11,30)&gt;=K$7,DATE(2026,11,30)&lt;=K$6,DATE(2026,11,30)&gt;$C$7),1,0)</f>
        <v>0</v>
      </c>
      <c r="L37" s="114" t="n">
        <f aca="false">IF(AND(DATE(2026,11,30)&gt;=L$7,DATE(2026,11,30)&lt;=L$6,DATE(2026,11,30)&gt;$C$7),1,0)</f>
        <v>0</v>
      </c>
      <c r="M37" s="114" t="n">
        <f aca="false">IF(AND(DATE(2026,11,30)&gt;=M$7,DATE(2026,11,30)&lt;=M$6,DATE(2026,11,30)&gt;$C$7),1,0)</f>
        <v>0</v>
      </c>
      <c r="N37" s="114" t="n">
        <f aca="false">IF(AND(DATE(2026,11,30)&gt;=N$7,DATE(2026,11,30)&lt;=N$6,DATE(2026,11,30)&gt;$C$7),1,0)</f>
        <v>0</v>
      </c>
      <c r="O37" s="114" t="n">
        <f aca="false">IF(AND(DATE(2026,11,30)&gt;=O$7,DATE(2026,11,30)&lt;=O$6,DATE(2026,11,30)&gt;$C$7),1,0)</f>
        <v>0</v>
      </c>
      <c r="P37" s="114" t="n">
        <f aca="false">IF(AND(DATE(2026,11,30)&gt;=P$7,DATE(2026,11,30)&lt;=P$6,DATE(2026,11,30)&gt;$C$7),1,0)</f>
        <v>0</v>
      </c>
      <c r="Q37" s="114" t="n">
        <f aca="false">IF(AND(DATE(2026,11,30)&gt;=Q$7,DATE(2026,11,30)&lt;=Q$6,DATE(2026,11,30)&gt;$C$7),1,0)</f>
        <v>0</v>
      </c>
      <c r="R37" s="114" t="n">
        <f aca="false">IF(AND(DATE(2026,11,30)&gt;=R$7,DATE(2026,11,30)&lt;=R$6,DATE(2026,11,30)&gt;$C$7),1,0)</f>
        <v>0</v>
      </c>
      <c r="S37" s="114" t="n">
        <f aca="false">IF(AND(DATE(2026,11,30)&gt;=S$7,DATE(2026,11,30)&lt;=S$6,DATE(2026,11,30)&gt;$C$7),1,0)</f>
        <v>1</v>
      </c>
      <c r="T37" s="114" t="n">
        <f aca="false">IF(AND(DATE(2026,11,30)&gt;=T$7,DATE(2026,11,30)&lt;=T$6,DATE(2026,11,30)&gt;$C$7),1,0)</f>
        <v>0</v>
      </c>
      <c r="U37" s="114" t="n">
        <f aca="false">SUM(H37:T37)</f>
        <v>1</v>
      </c>
    </row>
    <row r="38" customFormat="false" ht="15" hidden="false" customHeight="false" outlineLevel="1" collapsed="false">
      <c r="A38" s="13" t="s">
        <v>702</v>
      </c>
      <c r="H38" s="114" t="n">
        <f aca="false">IF(AND(DATE(2026,12,15)&gt;=H$7,DATE(2026,12,15)&lt;=H$6,DATE(2026,12,15)&gt;$C$7),1,0)</f>
        <v>0</v>
      </c>
      <c r="I38" s="114" t="n">
        <f aca="false">IF(AND(DATE(2026,12,15)&gt;=I$7,DATE(2026,12,15)&lt;=I$6,DATE(2026,12,15)&gt;$C$7),1,0)</f>
        <v>0</v>
      </c>
      <c r="J38" s="114" t="n">
        <f aca="false">IF(AND(DATE(2026,12,15)&gt;=J$7,DATE(2026,12,15)&lt;=J$6,DATE(2026,12,15)&gt;$C$7),1,0)</f>
        <v>0</v>
      </c>
      <c r="K38" s="114" t="n">
        <f aca="false">IF(AND(DATE(2026,12,15)&gt;=K$7,DATE(2026,12,15)&lt;=K$6,DATE(2026,12,15)&gt;$C$7),1,0)</f>
        <v>0</v>
      </c>
      <c r="L38" s="114" t="n">
        <f aca="false">IF(AND(DATE(2026,12,15)&gt;=L$7,DATE(2026,12,15)&lt;=L$6,DATE(2026,12,15)&gt;$C$7),1,0)</f>
        <v>0</v>
      </c>
      <c r="M38" s="114" t="n">
        <f aca="false">IF(AND(DATE(2026,12,15)&gt;=M$7,DATE(2026,12,15)&lt;=M$6,DATE(2026,12,15)&gt;$C$7),1,0)</f>
        <v>0</v>
      </c>
      <c r="N38" s="114" t="n">
        <f aca="false">IF(AND(DATE(2026,12,15)&gt;=N$7,DATE(2026,12,15)&lt;=N$6,DATE(2026,12,15)&gt;$C$7),1,0)</f>
        <v>0</v>
      </c>
      <c r="O38" s="114" t="n">
        <f aca="false">IF(AND(DATE(2026,12,15)&gt;=O$7,DATE(2026,12,15)&lt;=O$6,DATE(2026,12,15)&gt;$C$7),1,0)</f>
        <v>0</v>
      </c>
      <c r="P38" s="114" t="n">
        <f aca="false">IF(AND(DATE(2026,12,15)&gt;=P$7,DATE(2026,12,15)&lt;=P$6,DATE(2026,12,15)&gt;$C$7),1,0)</f>
        <v>0</v>
      </c>
      <c r="Q38" s="114" t="n">
        <f aca="false">IF(AND(DATE(2026,12,15)&gt;=Q$7,DATE(2026,12,15)&lt;=Q$6,DATE(2026,12,15)&gt;$C$7),1,0)</f>
        <v>0</v>
      </c>
      <c r="R38" s="114" t="n">
        <f aca="false">IF(AND(DATE(2026,12,15)&gt;=R$7,DATE(2026,12,15)&lt;=R$6,DATE(2026,12,15)&gt;$C$7),1,0)</f>
        <v>0</v>
      </c>
      <c r="S38" s="114" t="n">
        <f aca="false">IF(AND(DATE(2026,12,15)&gt;=S$7,DATE(2026,12,15)&lt;=S$6,DATE(2026,12,15)&gt;$C$7),1,0)</f>
        <v>0</v>
      </c>
      <c r="T38" s="114" t="n">
        <f aca="false">IF(AND(DATE(2026,12,15)&gt;=T$7,DATE(2026,12,15)&lt;=T$6,DATE(2026,12,15)&gt;$C$7),1,0)</f>
        <v>0</v>
      </c>
      <c r="U38" s="114" t="n">
        <f aca="false">SUM(H38:T38)</f>
        <v>0</v>
      </c>
    </row>
    <row r="39" customFormat="false" ht="15" hidden="false" customHeight="false" outlineLevel="1" collapsed="false">
      <c r="A39" s="13" t="s">
        <v>703</v>
      </c>
      <c r="H39" s="114" t="n">
        <f aca="false">IF(AND(DATE(2026,9,1)&gt;=H$7,DATE(2026,9,1)&lt;=H$6,DATE(2026,9,1)&gt;$C$7),1,0)</f>
        <v>0</v>
      </c>
      <c r="I39" s="114" t="n">
        <f aca="false">IF(AND(DATE(2026,9,1)&gt;=I$7,DATE(2026,9,1)&lt;=I$6,DATE(2026,9,1)&gt;$C$7),1,0)</f>
        <v>0</v>
      </c>
      <c r="J39" s="114" t="n">
        <f aca="false">IF(AND(DATE(2026,9,1)&gt;=J$7,DATE(2026,9,1)&lt;=J$6,DATE(2026,9,1)&gt;$C$7),1,0)</f>
        <v>0</v>
      </c>
      <c r="K39" s="114" t="n">
        <f aca="false">IF(AND(DATE(2026,9,1)&gt;=K$7,DATE(2026,9,1)&lt;=K$6,DATE(2026,9,1)&gt;$C$7),1,0)</f>
        <v>0</v>
      </c>
      <c r="L39" s="114" t="n">
        <f aca="false">IF(AND(DATE(2026,9,1)&gt;=L$7,DATE(2026,9,1)&lt;=L$6,DATE(2026,9,1)&gt;$C$7),1,0)</f>
        <v>0</v>
      </c>
      <c r="M39" s="114" t="n">
        <f aca="false">IF(AND(DATE(2026,9,1)&gt;=M$7,DATE(2026,9,1)&lt;=M$6,DATE(2026,9,1)&gt;$C$7),1,0)</f>
        <v>0</v>
      </c>
      <c r="N39" s="114" t="n">
        <f aca="false">IF(AND(DATE(2026,9,1)&gt;=N$7,DATE(2026,9,1)&lt;=N$6,DATE(2026,9,1)&gt;$C$7),1,0)</f>
        <v>0</v>
      </c>
      <c r="O39" s="114" t="n">
        <f aca="false">IF(AND(DATE(2026,9,1)&gt;=O$7,DATE(2026,9,1)&lt;=O$6,DATE(2026,9,1)&gt;$C$7),1,0)</f>
        <v>0</v>
      </c>
      <c r="P39" s="114" t="n">
        <f aca="false">IF(AND(DATE(2026,9,1)&gt;=P$7,DATE(2026,9,1)&lt;=P$6,DATE(2026,9,1)&gt;$C$7),1,0)</f>
        <v>0</v>
      </c>
      <c r="Q39" s="114" t="n">
        <f aca="false">IF(AND(DATE(2026,9,1)&gt;=Q$7,DATE(2026,9,1)&lt;=Q$6,DATE(2026,9,1)&gt;$C$7),1,0)</f>
        <v>0</v>
      </c>
      <c r="R39" s="114" t="n">
        <f aca="false">IF(AND(DATE(2026,9,1)&gt;=R$7,DATE(2026,9,1)&lt;=R$6,DATE(2026,9,1)&gt;$C$7),1,0)</f>
        <v>0</v>
      </c>
      <c r="S39" s="114" t="n">
        <f aca="false">IF(AND(DATE(2026,9,1)&gt;=S$7,DATE(2026,9,1)&lt;=S$6,DATE(2026,9,1)&gt;$C$7),1,0)</f>
        <v>0</v>
      </c>
      <c r="T39" s="114" t="n">
        <f aca="false">IF(AND(DATE(2026,9,1)&gt;=T$7,DATE(2026,9,1)&lt;=T$6,DATE(2026,9,1)&gt;$C$7),1,0)</f>
        <v>0</v>
      </c>
      <c r="U39" s="114" t="n">
        <f aca="false">SUM(H39:T39)</f>
        <v>0</v>
      </c>
    </row>
    <row r="40" customFormat="false" ht="15" hidden="false" customHeight="false" outlineLevel="1" collapsed="false">
      <c r="A40" s="13" t="s">
        <v>704</v>
      </c>
      <c r="H40" s="114" t="n">
        <f aca="false">IF(AND(DATE(2026,10,1)&gt;=H$7,DATE(2026,10,1)&lt;=H$6,DATE(2026,10,1)&gt;$C$7),1,0)</f>
        <v>0</v>
      </c>
      <c r="I40" s="114" t="n">
        <f aca="false">IF(AND(DATE(2026,10,1)&gt;=I$7,DATE(2026,10,1)&lt;=I$6,DATE(2026,10,1)&gt;$C$7),1,0)</f>
        <v>0</v>
      </c>
      <c r="J40" s="114" t="n">
        <f aca="false">IF(AND(DATE(2026,10,1)&gt;=J$7,DATE(2026,10,1)&lt;=J$6,DATE(2026,10,1)&gt;$C$7),1,0)</f>
        <v>1</v>
      </c>
      <c r="K40" s="114" t="n">
        <f aca="false">IF(AND(DATE(2026,10,1)&gt;=K$7,DATE(2026,10,1)&lt;=K$6,DATE(2026,10,1)&gt;$C$7),1,0)</f>
        <v>0</v>
      </c>
      <c r="L40" s="114" t="n">
        <f aca="false">IF(AND(DATE(2026,10,1)&gt;=L$7,DATE(2026,10,1)&lt;=L$6,DATE(2026,10,1)&gt;$C$7),1,0)</f>
        <v>0</v>
      </c>
      <c r="M40" s="114" t="n">
        <f aca="false">IF(AND(DATE(2026,10,1)&gt;=M$7,DATE(2026,10,1)&lt;=M$6,DATE(2026,10,1)&gt;$C$7),1,0)</f>
        <v>0</v>
      </c>
      <c r="N40" s="114" t="n">
        <f aca="false">IF(AND(DATE(2026,10,1)&gt;=N$7,DATE(2026,10,1)&lt;=N$6,DATE(2026,10,1)&gt;$C$7),1,0)</f>
        <v>0</v>
      </c>
      <c r="O40" s="114" t="n">
        <f aca="false">IF(AND(DATE(2026,10,1)&gt;=O$7,DATE(2026,10,1)&lt;=O$6,DATE(2026,10,1)&gt;$C$7),1,0)</f>
        <v>0</v>
      </c>
      <c r="P40" s="114" t="n">
        <f aca="false">IF(AND(DATE(2026,10,1)&gt;=P$7,DATE(2026,10,1)&lt;=P$6,DATE(2026,10,1)&gt;$C$7),1,0)</f>
        <v>0</v>
      </c>
      <c r="Q40" s="114" t="n">
        <f aca="false">IF(AND(DATE(2026,10,1)&gt;=Q$7,DATE(2026,10,1)&lt;=Q$6,DATE(2026,10,1)&gt;$C$7),1,0)</f>
        <v>0</v>
      </c>
      <c r="R40" s="114" t="n">
        <f aca="false">IF(AND(DATE(2026,10,1)&gt;=R$7,DATE(2026,10,1)&lt;=R$6,DATE(2026,10,1)&gt;$C$7),1,0)</f>
        <v>0</v>
      </c>
      <c r="S40" s="114" t="n">
        <f aca="false">IF(AND(DATE(2026,10,1)&gt;=S$7,DATE(2026,10,1)&lt;=S$6,DATE(2026,10,1)&gt;$C$7),1,0)</f>
        <v>0</v>
      </c>
      <c r="T40" s="114" t="n">
        <f aca="false">IF(AND(DATE(2026,10,1)&gt;=T$7,DATE(2026,10,1)&lt;=T$6,DATE(2026,10,1)&gt;$C$7),1,0)</f>
        <v>0</v>
      </c>
      <c r="U40" s="114" t="n">
        <f aca="false">SUM(H40:T40)</f>
        <v>1</v>
      </c>
    </row>
    <row r="41" customFormat="false" ht="15" hidden="false" customHeight="false" outlineLevel="1" collapsed="false">
      <c r="A41" s="13" t="s">
        <v>705</v>
      </c>
      <c r="H41" s="114" t="n">
        <f aca="false">IF(AND(DATE(2026,11,2)&gt;=H$7,DATE(2026,11,2)&lt;=H$6,DATE(2026,11,2)&gt;$C$7),1,0)</f>
        <v>0</v>
      </c>
      <c r="I41" s="114" t="n">
        <f aca="false">IF(AND(DATE(2026,11,2)&gt;=I$7,DATE(2026,11,2)&lt;=I$6,DATE(2026,11,2)&gt;$C$7),1,0)</f>
        <v>0</v>
      </c>
      <c r="J41" s="114" t="n">
        <f aca="false">IF(AND(DATE(2026,11,2)&gt;=J$7,DATE(2026,11,2)&lt;=J$6,DATE(2026,11,2)&gt;$C$7),1,0)</f>
        <v>0</v>
      </c>
      <c r="K41" s="114" t="n">
        <f aca="false">IF(AND(DATE(2026,11,2)&gt;=K$7,DATE(2026,11,2)&lt;=K$6,DATE(2026,11,2)&gt;$C$7),1,0)</f>
        <v>0</v>
      </c>
      <c r="L41" s="114" t="n">
        <f aca="false">IF(AND(DATE(2026,11,2)&gt;=L$7,DATE(2026,11,2)&lt;=L$6,DATE(2026,11,2)&gt;$C$7),1,0)</f>
        <v>0</v>
      </c>
      <c r="M41" s="114" t="n">
        <f aca="false">IF(AND(DATE(2026,11,2)&gt;=M$7,DATE(2026,11,2)&lt;=M$6,DATE(2026,11,2)&gt;$C$7),1,0)</f>
        <v>0</v>
      </c>
      <c r="N41" s="114" t="n">
        <f aca="false">IF(AND(DATE(2026,11,2)&gt;=N$7,DATE(2026,11,2)&lt;=N$6,DATE(2026,11,2)&gt;$C$7),1,0)</f>
        <v>0</v>
      </c>
      <c r="O41" s="114" t="n">
        <f aca="false">IF(AND(DATE(2026,11,2)&gt;=O$7,DATE(2026,11,2)&lt;=O$6,DATE(2026,11,2)&gt;$C$7),1,0)</f>
        <v>1</v>
      </c>
      <c r="P41" s="114" t="n">
        <f aca="false">IF(AND(DATE(2026,11,2)&gt;=P$7,DATE(2026,11,2)&lt;=P$6,DATE(2026,11,2)&gt;$C$7),1,0)</f>
        <v>0</v>
      </c>
      <c r="Q41" s="114" t="n">
        <f aca="false">IF(AND(DATE(2026,11,2)&gt;=Q$7,DATE(2026,11,2)&lt;=Q$6,DATE(2026,11,2)&gt;$C$7),1,0)</f>
        <v>0</v>
      </c>
      <c r="R41" s="114" t="n">
        <f aca="false">IF(AND(DATE(2026,11,2)&gt;=R$7,DATE(2026,11,2)&lt;=R$6,DATE(2026,11,2)&gt;$C$7),1,0)</f>
        <v>0</v>
      </c>
      <c r="S41" s="114" t="n">
        <f aca="false">IF(AND(DATE(2026,11,2)&gt;=S$7,DATE(2026,11,2)&lt;=S$6,DATE(2026,11,2)&gt;$C$7),1,0)</f>
        <v>0</v>
      </c>
      <c r="T41" s="114" t="n">
        <f aca="false">IF(AND(DATE(2026,11,2)&gt;=T$7,DATE(2026,11,2)&lt;=T$6,DATE(2026,11,2)&gt;$C$7),1,0)</f>
        <v>0</v>
      </c>
      <c r="U41" s="114" t="n">
        <f aca="false">SUM(H41:T41)</f>
        <v>1</v>
      </c>
    </row>
    <row r="42" customFormat="false" ht="15" hidden="false" customHeight="false" outlineLevel="1" collapsed="false">
      <c r="A42" s="13" t="s">
        <v>706</v>
      </c>
      <c r="H42" s="114" t="n">
        <f aca="false">IF(AND(DATE(2026,12,2)&gt;=H$7,DATE(2026,12,2)&lt;=H$6,DATE(2026,12,2)&gt;$C$7),1,0)</f>
        <v>0</v>
      </c>
      <c r="I42" s="114" t="n">
        <f aca="false">IF(AND(DATE(2026,12,2)&gt;=I$7,DATE(2026,12,2)&lt;=I$6,DATE(2026,12,2)&gt;$C$7),1,0)</f>
        <v>0</v>
      </c>
      <c r="J42" s="114" t="n">
        <f aca="false">IF(AND(DATE(2026,12,2)&gt;=J$7,DATE(2026,12,2)&lt;=J$6,DATE(2026,12,2)&gt;$C$7),1,0)</f>
        <v>0</v>
      </c>
      <c r="K42" s="114" t="n">
        <f aca="false">IF(AND(DATE(2026,12,2)&gt;=K$7,DATE(2026,12,2)&lt;=K$6,DATE(2026,12,2)&gt;$C$7),1,0)</f>
        <v>0</v>
      </c>
      <c r="L42" s="114" t="n">
        <f aca="false">IF(AND(DATE(2026,12,2)&gt;=L$7,DATE(2026,12,2)&lt;=L$6,DATE(2026,12,2)&gt;$C$7),1,0)</f>
        <v>0</v>
      </c>
      <c r="M42" s="114" t="n">
        <f aca="false">IF(AND(DATE(2026,12,2)&gt;=M$7,DATE(2026,12,2)&lt;=M$6,DATE(2026,12,2)&gt;$C$7),1,0)</f>
        <v>0</v>
      </c>
      <c r="N42" s="114" t="n">
        <f aca="false">IF(AND(DATE(2026,12,2)&gt;=N$7,DATE(2026,12,2)&lt;=N$6,DATE(2026,12,2)&gt;$C$7),1,0)</f>
        <v>0</v>
      </c>
      <c r="O42" s="114" t="n">
        <f aca="false">IF(AND(DATE(2026,12,2)&gt;=O$7,DATE(2026,12,2)&lt;=O$6,DATE(2026,12,2)&gt;$C$7),1,0)</f>
        <v>0</v>
      </c>
      <c r="P42" s="114" t="n">
        <f aca="false">IF(AND(DATE(2026,12,2)&gt;=P$7,DATE(2026,12,2)&lt;=P$6,DATE(2026,12,2)&gt;$C$7),1,0)</f>
        <v>0</v>
      </c>
      <c r="Q42" s="114" t="n">
        <f aca="false">IF(AND(DATE(2026,12,2)&gt;=Q$7,DATE(2026,12,2)&lt;=Q$6,DATE(2026,12,2)&gt;$C$7),1,0)</f>
        <v>0</v>
      </c>
      <c r="R42" s="114" t="n">
        <f aca="false">IF(AND(DATE(2026,12,2)&gt;=R$7,DATE(2026,12,2)&lt;=R$6,DATE(2026,12,2)&gt;$C$7),1,0)</f>
        <v>0</v>
      </c>
      <c r="S42" s="114" t="n">
        <f aca="false">IF(AND(DATE(2026,12,2)&gt;=S$7,DATE(2026,12,2)&lt;=S$6,DATE(2026,12,2)&gt;$C$7),1,0)</f>
        <v>1</v>
      </c>
      <c r="T42" s="114" t="n">
        <f aca="false">IF(AND(DATE(2026,12,2)&gt;=T$7,DATE(2026,12,2)&lt;=T$6,DATE(2026,12,2)&gt;$C$7),1,0)</f>
        <v>0</v>
      </c>
      <c r="U42" s="114" t="n">
        <f aca="false">SUM(H42:T42)</f>
        <v>1</v>
      </c>
    </row>
    <row r="43" customFormat="false" ht="15" hidden="false" customHeight="false" outlineLevel="1" collapsed="false">
      <c r="A43" s="13" t="s">
        <v>707</v>
      </c>
      <c r="H43" s="114" t="n">
        <f aca="false">IF(AND(DATE(2026,9,10)&gt;=H$7,DATE(2026,9,10)&lt;=H$6,DATE(2026,9,10)&gt;$C$7),1,0)</f>
        <v>0</v>
      </c>
      <c r="I43" s="114" t="n">
        <f aca="false">IF(AND(DATE(2026,9,10)&gt;=I$7,DATE(2026,9,10)&lt;=I$6,DATE(2026,9,10)&gt;$C$7),1,0)</f>
        <v>0</v>
      </c>
      <c r="J43" s="114" t="n">
        <f aca="false">IF(AND(DATE(2026,9,10)&gt;=J$7,DATE(2026,9,10)&lt;=J$6,DATE(2026,9,10)&gt;$C$7),1,0)</f>
        <v>0</v>
      </c>
      <c r="K43" s="114" t="n">
        <f aca="false">IF(AND(DATE(2026,9,10)&gt;=K$7,DATE(2026,9,10)&lt;=K$6,DATE(2026,9,10)&gt;$C$7),1,0)</f>
        <v>0</v>
      </c>
      <c r="L43" s="114" t="n">
        <f aca="false">IF(AND(DATE(2026,9,10)&gt;=L$7,DATE(2026,9,10)&lt;=L$6,DATE(2026,9,10)&gt;$C$7),1,0)</f>
        <v>0</v>
      </c>
      <c r="M43" s="114" t="n">
        <f aca="false">IF(AND(DATE(2026,9,10)&gt;=M$7,DATE(2026,9,10)&lt;=M$6,DATE(2026,9,10)&gt;$C$7),1,0)</f>
        <v>0</v>
      </c>
      <c r="N43" s="114" t="n">
        <f aca="false">IF(AND(DATE(2026,9,10)&gt;=N$7,DATE(2026,9,10)&lt;=N$6,DATE(2026,9,10)&gt;$C$7),1,0)</f>
        <v>0</v>
      </c>
      <c r="O43" s="114" t="n">
        <f aca="false">IF(AND(DATE(2026,9,10)&gt;=O$7,DATE(2026,9,10)&lt;=O$6,DATE(2026,9,10)&gt;$C$7),1,0)</f>
        <v>0</v>
      </c>
      <c r="P43" s="114" t="n">
        <f aca="false">IF(AND(DATE(2026,9,10)&gt;=P$7,DATE(2026,9,10)&lt;=P$6,DATE(2026,9,10)&gt;$C$7),1,0)</f>
        <v>0</v>
      </c>
      <c r="Q43" s="114" t="n">
        <f aca="false">IF(AND(DATE(2026,9,10)&gt;=Q$7,DATE(2026,9,10)&lt;=Q$6,DATE(2026,9,10)&gt;$C$7),1,0)</f>
        <v>0</v>
      </c>
      <c r="R43" s="114" t="n">
        <f aca="false">IF(AND(DATE(2026,9,10)&gt;=R$7,DATE(2026,9,10)&lt;=R$6,DATE(2026,9,10)&gt;$C$7),1,0)</f>
        <v>0</v>
      </c>
      <c r="S43" s="114" t="n">
        <f aca="false">IF(AND(DATE(2026,9,10)&gt;=S$7,DATE(2026,9,10)&lt;=S$6,DATE(2026,9,10)&gt;$C$7),1,0)</f>
        <v>0</v>
      </c>
      <c r="T43" s="114" t="n">
        <f aca="false">IF(AND(DATE(2026,9,10)&gt;=T$7,DATE(2026,9,10)&lt;=T$6,DATE(2026,9,10)&gt;$C$7),1,0)</f>
        <v>0</v>
      </c>
      <c r="U43" s="114" t="n">
        <f aca="false">SUM(H43:T43)</f>
        <v>0</v>
      </c>
    </row>
    <row r="44" customFormat="false" ht="15" hidden="false" customHeight="false" outlineLevel="1" collapsed="false">
      <c r="A44" s="13" t="s">
        <v>708</v>
      </c>
      <c r="H44" s="114" t="n">
        <f aca="false">IF(AND(DATE(2026,10,12)&gt;=H$7,DATE(2026,10,12)&lt;=H$6,DATE(2026,10,12)&gt;$C$7),1,0)</f>
        <v>0</v>
      </c>
      <c r="I44" s="114" t="n">
        <f aca="false">IF(AND(DATE(2026,10,12)&gt;=I$7,DATE(2026,10,12)&lt;=I$6,DATE(2026,10,12)&gt;$C$7),1,0)</f>
        <v>0</v>
      </c>
      <c r="J44" s="114" t="n">
        <f aca="false">IF(AND(DATE(2026,10,12)&gt;=J$7,DATE(2026,10,12)&lt;=J$6,DATE(2026,10,12)&gt;$C$7),1,0)</f>
        <v>0</v>
      </c>
      <c r="K44" s="114" t="n">
        <f aca="false">IF(AND(DATE(2026,10,12)&gt;=K$7,DATE(2026,10,12)&lt;=K$6,DATE(2026,10,12)&gt;$C$7),1,0)</f>
        <v>0</v>
      </c>
      <c r="L44" s="114" t="n">
        <f aca="false">IF(AND(DATE(2026,10,12)&gt;=L$7,DATE(2026,10,12)&lt;=L$6,DATE(2026,10,12)&gt;$C$7),1,0)</f>
        <v>1</v>
      </c>
      <c r="M44" s="114" t="n">
        <f aca="false">IF(AND(DATE(2026,10,12)&gt;=M$7,DATE(2026,10,12)&lt;=M$6,DATE(2026,10,12)&gt;$C$7),1,0)</f>
        <v>0</v>
      </c>
      <c r="N44" s="114" t="n">
        <f aca="false">IF(AND(DATE(2026,10,12)&gt;=N$7,DATE(2026,10,12)&lt;=N$6,DATE(2026,10,12)&gt;$C$7),1,0)</f>
        <v>0</v>
      </c>
      <c r="O44" s="114" t="n">
        <f aca="false">IF(AND(DATE(2026,10,12)&gt;=O$7,DATE(2026,10,12)&lt;=O$6,DATE(2026,10,12)&gt;$C$7),1,0)</f>
        <v>0</v>
      </c>
      <c r="P44" s="114" t="n">
        <f aca="false">IF(AND(DATE(2026,10,12)&gt;=P$7,DATE(2026,10,12)&lt;=P$6,DATE(2026,10,12)&gt;$C$7),1,0)</f>
        <v>0</v>
      </c>
      <c r="Q44" s="114" t="n">
        <f aca="false">IF(AND(DATE(2026,10,12)&gt;=Q$7,DATE(2026,10,12)&lt;=Q$6,DATE(2026,10,12)&gt;$C$7),1,0)</f>
        <v>0</v>
      </c>
      <c r="R44" s="114" t="n">
        <f aca="false">IF(AND(DATE(2026,10,12)&gt;=R$7,DATE(2026,10,12)&lt;=R$6,DATE(2026,10,12)&gt;$C$7),1,0)</f>
        <v>0</v>
      </c>
      <c r="S44" s="114" t="n">
        <f aca="false">IF(AND(DATE(2026,10,12)&gt;=S$7,DATE(2026,10,12)&lt;=S$6,DATE(2026,10,12)&gt;$C$7),1,0)</f>
        <v>0</v>
      </c>
      <c r="T44" s="114" t="n">
        <f aca="false">IF(AND(DATE(2026,10,12)&gt;=T$7,DATE(2026,10,12)&lt;=T$6,DATE(2026,10,12)&gt;$C$7),1,0)</f>
        <v>0</v>
      </c>
      <c r="U44" s="114" t="n">
        <f aca="false">SUM(H44:T44)</f>
        <v>1</v>
      </c>
    </row>
    <row r="45" customFormat="false" ht="15" hidden="false" customHeight="false" outlineLevel="1" collapsed="false">
      <c r="A45" s="13" t="s">
        <v>709</v>
      </c>
      <c r="H45" s="114" t="n">
        <f aca="false">IF(AND(DATE(2026,11,10)&gt;=H$7,DATE(2026,11,10)&lt;=H$6,DATE(2026,11,10)&gt;$C$7),1,0)</f>
        <v>0</v>
      </c>
      <c r="I45" s="114" t="n">
        <f aca="false">IF(AND(DATE(2026,11,10)&gt;=I$7,DATE(2026,11,10)&lt;=I$6,DATE(2026,11,10)&gt;$C$7),1,0)</f>
        <v>0</v>
      </c>
      <c r="J45" s="114" t="n">
        <f aca="false">IF(AND(DATE(2026,11,10)&gt;=J$7,DATE(2026,11,10)&lt;=J$6,DATE(2026,11,10)&gt;$C$7),1,0)</f>
        <v>0</v>
      </c>
      <c r="K45" s="114" t="n">
        <f aca="false">IF(AND(DATE(2026,11,10)&gt;=K$7,DATE(2026,11,10)&lt;=K$6,DATE(2026,11,10)&gt;$C$7),1,0)</f>
        <v>0</v>
      </c>
      <c r="L45" s="114" t="n">
        <f aca="false">IF(AND(DATE(2026,11,10)&gt;=L$7,DATE(2026,11,10)&lt;=L$6,DATE(2026,11,10)&gt;$C$7),1,0)</f>
        <v>0</v>
      </c>
      <c r="M45" s="114" t="n">
        <f aca="false">IF(AND(DATE(2026,11,10)&gt;=M$7,DATE(2026,11,10)&lt;=M$6,DATE(2026,11,10)&gt;$C$7),1,0)</f>
        <v>0</v>
      </c>
      <c r="N45" s="114" t="n">
        <f aca="false">IF(AND(DATE(2026,11,10)&gt;=N$7,DATE(2026,11,10)&lt;=N$6,DATE(2026,11,10)&gt;$C$7),1,0)</f>
        <v>0</v>
      </c>
      <c r="O45" s="114" t="n">
        <f aca="false">IF(AND(DATE(2026,11,10)&gt;=O$7,DATE(2026,11,10)&lt;=O$6,DATE(2026,11,10)&gt;$C$7),1,0)</f>
        <v>0</v>
      </c>
      <c r="P45" s="114" t="n">
        <f aca="false">IF(AND(DATE(2026,11,10)&gt;=P$7,DATE(2026,11,10)&lt;=P$6,DATE(2026,11,10)&gt;$C$7),1,0)</f>
        <v>1</v>
      </c>
      <c r="Q45" s="114" t="n">
        <f aca="false">IF(AND(DATE(2026,11,10)&gt;=Q$7,DATE(2026,11,10)&lt;=Q$6,DATE(2026,11,10)&gt;$C$7),1,0)</f>
        <v>0</v>
      </c>
      <c r="R45" s="114" t="n">
        <f aca="false">IF(AND(DATE(2026,11,10)&gt;=R$7,DATE(2026,11,10)&lt;=R$6,DATE(2026,11,10)&gt;$C$7),1,0)</f>
        <v>0</v>
      </c>
      <c r="S45" s="114" t="n">
        <f aca="false">IF(AND(DATE(2026,11,10)&gt;=S$7,DATE(2026,11,10)&lt;=S$6,DATE(2026,11,10)&gt;$C$7),1,0)</f>
        <v>0</v>
      </c>
      <c r="T45" s="114" t="n">
        <f aca="false">IF(AND(DATE(2026,11,10)&gt;=T$7,DATE(2026,11,10)&lt;=T$6,DATE(2026,11,10)&gt;$C$7),1,0)</f>
        <v>0</v>
      </c>
      <c r="U45" s="114" t="n">
        <f aca="false">SUM(H45:T45)</f>
        <v>1</v>
      </c>
    </row>
    <row r="46" customFormat="false" ht="15" hidden="false" customHeight="false" outlineLevel="1" collapsed="false">
      <c r="A46" s="13" t="s">
        <v>710</v>
      </c>
      <c r="H46" s="114" t="n">
        <f aca="false">IF(AND(DATE(2026,12,10)&gt;=H$7,DATE(2026,12,10)&lt;=H$6,DATE(2026,12,10)&gt;$C$7),1,0)</f>
        <v>0</v>
      </c>
      <c r="I46" s="114" t="n">
        <f aca="false">IF(AND(DATE(2026,12,10)&gt;=I$7,DATE(2026,12,10)&lt;=I$6,DATE(2026,12,10)&gt;$C$7),1,0)</f>
        <v>0</v>
      </c>
      <c r="J46" s="114" t="n">
        <f aca="false">IF(AND(DATE(2026,12,10)&gt;=J$7,DATE(2026,12,10)&lt;=J$6,DATE(2026,12,10)&gt;$C$7),1,0)</f>
        <v>0</v>
      </c>
      <c r="K46" s="114" t="n">
        <f aca="false">IF(AND(DATE(2026,12,10)&gt;=K$7,DATE(2026,12,10)&lt;=K$6,DATE(2026,12,10)&gt;$C$7),1,0)</f>
        <v>0</v>
      </c>
      <c r="L46" s="114" t="n">
        <f aca="false">IF(AND(DATE(2026,12,10)&gt;=L$7,DATE(2026,12,10)&lt;=L$6,DATE(2026,12,10)&gt;$C$7),1,0)</f>
        <v>0</v>
      </c>
      <c r="M46" s="114" t="n">
        <f aca="false">IF(AND(DATE(2026,12,10)&gt;=M$7,DATE(2026,12,10)&lt;=M$6,DATE(2026,12,10)&gt;$C$7),1,0)</f>
        <v>0</v>
      </c>
      <c r="N46" s="114" t="n">
        <f aca="false">IF(AND(DATE(2026,12,10)&gt;=N$7,DATE(2026,12,10)&lt;=N$6,DATE(2026,12,10)&gt;$C$7),1,0)</f>
        <v>0</v>
      </c>
      <c r="O46" s="114" t="n">
        <f aca="false">IF(AND(DATE(2026,12,10)&gt;=O$7,DATE(2026,12,10)&lt;=O$6,DATE(2026,12,10)&gt;$C$7),1,0)</f>
        <v>0</v>
      </c>
      <c r="P46" s="114" t="n">
        <f aca="false">IF(AND(DATE(2026,12,10)&gt;=P$7,DATE(2026,12,10)&lt;=P$6,DATE(2026,12,10)&gt;$C$7),1,0)</f>
        <v>0</v>
      </c>
      <c r="Q46" s="114" t="n">
        <f aca="false">IF(AND(DATE(2026,12,10)&gt;=Q$7,DATE(2026,12,10)&lt;=Q$6,DATE(2026,12,10)&gt;$C$7),1,0)</f>
        <v>0</v>
      </c>
      <c r="R46" s="114" t="n">
        <f aca="false">IF(AND(DATE(2026,12,10)&gt;=R$7,DATE(2026,12,10)&lt;=R$6,DATE(2026,12,10)&gt;$C$7),1,0)</f>
        <v>0</v>
      </c>
      <c r="S46" s="114" t="n">
        <f aca="false">IF(AND(DATE(2026,12,10)&gt;=S$7,DATE(2026,12,10)&lt;=S$6,DATE(2026,12,10)&gt;$C$7),1,0)</f>
        <v>0</v>
      </c>
      <c r="T46" s="114" t="n">
        <f aca="false">IF(AND(DATE(2026,12,10)&gt;=T$7,DATE(2026,12,10)&lt;=T$6,DATE(2026,12,10)&gt;$C$7),1,0)</f>
        <v>1</v>
      </c>
      <c r="U46" s="114" t="n">
        <f aca="false">SUM(H46:T46)</f>
        <v>1</v>
      </c>
    </row>
    <row r="48" customFormat="false" ht="15" hidden="false" customHeight="false" outlineLevel="0" collapsed="false">
      <c r="A48" s="21" t="s">
        <v>711</v>
      </c>
      <c r="B48" s="22"/>
      <c r="C48" s="22"/>
      <c r="D48" s="22"/>
      <c r="E48" s="22"/>
      <c r="F48" s="22"/>
      <c r="G48" s="22"/>
      <c r="H48" s="22"/>
      <c r="I48" s="22"/>
      <c r="J48" s="22"/>
      <c r="K48" s="22"/>
      <c r="L48" s="22"/>
      <c r="M48" s="22"/>
      <c r="N48" s="22"/>
      <c r="O48" s="22"/>
      <c r="P48" s="22"/>
      <c r="Q48" s="22"/>
      <c r="R48" s="22"/>
      <c r="S48" s="22"/>
      <c r="T48" s="22"/>
      <c r="U48" s="22"/>
      <c r="V48" s="22"/>
      <c r="W48" s="22"/>
    </row>
    <row r="49" customFormat="false" ht="15" hidden="false" customHeight="false" outlineLevel="0" collapsed="false">
      <c r="A49" s="27" t="s">
        <v>712</v>
      </c>
      <c r="B49" s="63" t="s">
        <v>713</v>
      </c>
      <c r="C49" s="115" t="n">
        <v>209338</v>
      </c>
      <c r="D49" s="67" t="n">
        <f aca="false">Receivables!M33</f>
        <v>570920.830901676</v>
      </c>
      <c r="E49" s="67" t="n">
        <f aca="false">Receivables!N33</f>
        <v>691637.540237477</v>
      </c>
      <c r="F49" s="67" t="n">
        <f aca="false">Receivables!O33</f>
        <v>760620.436534464</v>
      </c>
      <c r="G49" s="67" t="n">
        <f aca="false">Receivables!P33</f>
        <v>836074.370285806</v>
      </c>
      <c r="H49" s="76" t="n">
        <f aca="false">(D49-$C49)*H$11+E49*H$12+F49*H$13+G49*H$14</f>
        <v>133214.727174302</v>
      </c>
      <c r="I49" s="76" t="n">
        <f aca="false">(D49-$C49)*I$11+E49*I$12+F49*I$13+G49*I$14</f>
        <v>133214.727174302</v>
      </c>
      <c r="J49" s="76" t="n">
        <f aca="false">(D49-$C49)*J$11+E49*J$12+F49*J$13+G49*J$14</f>
        <v>139775.153342587</v>
      </c>
      <c r="K49" s="76" t="n">
        <f aca="false">(D49-$C49)*K$11+E49*K$12+F49*K$13+G49*K$14</f>
        <v>156176.218763301</v>
      </c>
      <c r="L49" s="76" t="n">
        <f aca="false">(D49-$C49)*L$11+E49*L$12+F49*L$13+G49*L$14</f>
        <v>156176.218763301</v>
      </c>
      <c r="M49" s="76" t="n">
        <f aca="false">(D49-$C49)*M$11+E49*M$12+F49*M$13+G49*M$14</f>
        <v>156176.218763301</v>
      </c>
      <c r="N49" s="76" t="n">
        <f aca="false">(D49-$C49)*N$11+E49*N$12+F49*N$13+G49*N$14</f>
        <v>156176.218763301</v>
      </c>
      <c r="O49" s="76" t="n">
        <f aca="false">(D49-$C49)*O$11+E49*O$12+F49*O$13+G49*O$14</f>
        <v>174434.97570165</v>
      </c>
      <c r="P49" s="76" t="n">
        <f aca="false">(D49-$C49)*P$11+E49*P$12+F49*P$13+G49*P$14</f>
        <v>177478.101858042</v>
      </c>
      <c r="Q49" s="76" t="n">
        <f aca="false">(D49-$C49)*Q$11+E49*Q$12+F49*Q$13+G49*Q$14</f>
        <v>177478.101858042</v>
      </c>
      <c r="R49" s="76" t="n">
        <f aca="false">(D49-$C49)*R$11+E49*R$12+F49*R$13+G49*R$14</f>
        <v>177478.101858042</v>
      </c>
      <c r="S49" s="76" t="n">
        <f aca="false">(D49-$C49)*S$11+E49*S$12+F49*S$13+G49*S$14</f>
        <v>183942.607561292</v>
      </c>
      <c r="T49" s="76" t="n">
        <f aca="false">(D49-$C49)*T$11+E49*T$12+F49*T$13+G49*T$14</f>
        <v>188790.98683873</v>
      </c>
      <c r="U49" s="66" t="n">
        <f aca="false">SUM(H49:T49)</f>
        <v>2110512.35842019</v>
      </c>
      <c r="V49" s="116" t="n">
        <f aca="false">SUM(H$14:T$14)</f>
        <v>0.354838709677419</v>
      </c>
      <c r="W49" s="28" t="n">
        <f aca="false">G49*(1-V49)</f>
        <v>539402.81953923</v>
      </c>
    </row>
    <row r="50" customFormat="false" ht="15" hidden="false" customHeight="false" outlineLevel="0" collapsed="false">
      <c r="A50" s="27" t="s">
        <v>714</v>
      </c>
      <c r="B50" s="63" t="s">
        <v>713</v>
      </c>
      <c r="C50" s="115" t="n">
        <v>29032</v>
      </c>
      <c r="D50" s="67" t="n">
        <f aca="false">Receivables!M41</f>
        <v>79177.2092035484</v>
      </c>
      <c r="E50" s="67" t="n">
        <f aca="false">Receivables!N41</f>
        <v>93071.3287049248</v>
      </c>
      <c r="F50" s="67" t="n">
        <f aca="false">Receivables!O41</f>
        <v>92482.6025123903</v>
      </c>
      <c r="G50" s="67" t="n">
        <f aca="false">Receivables!P41</f>
        <v>91936.1010182725</v>
      </c>
      <c r="H50" s="76" t="n">
        <f aca="false">(D50-$C50)*H$11+E50*H$12+F50*H$13+G50*H$14</f>
        <v>18474.550759202</v>
      </c>
      <c r="I50" s="76" t="n">
        <f aca="false">(D50-$C50)*I$11+E50*I$12+F50*I$13+G50*I$14</f>
        <v>18474.550759202</v>
      </c>
      <c r="J50" s="76" t="n">
        <f aca="false">(D50-$C50)*J$11+E50*J$12+F50*J$13+G50*J$14</f>
        <v>19200.7095370749</v>
      </c>
      <c r="K50" s="76" t="n">
        <f aca="false">(D50-$C50)*K$11+E50*K$12+F50*K$13+G50*K$14</f>
        <v>21016.1064817572</v>
      </c>
      <c r="L50" s="76" t="n">
        <f aca="false">(D50-$C50)*L$11+E50*L$12+F50*L$13+G50*L$14</f>
        <v>21016.1064817572</v>
      </c>
      <c r="M50" s="76" t="n">
        <f aca="false">(D50-$C50)*M$11+E50*M$12+F50*M$13+G50*M$14</f>
        <v>21016.1064817572</v>
      </c>
      <c r="N50" s="76" t="n">
        <f aca="false">(D50-$C50)*N$11+E50*N$12+F50*N$13+G50*N$14</f>
        <v>21016.1064817572</v>
      </c>
      <c r="O50" s="76" t="n">
        <f aca="false">(D50-$C50)*O$11+E50*O$12+F50*O$13+G50*O$14</f>
        <v>21498.8214284434</v>
      </c>
      <c r="P50" s="76" t="n">
        <f aca="false">(D50-$C50)*P$11+E50*P$12+F50*P$13+G50*P$14</f>
        <v>21579.2739195577</v>
      </c>
      <c r="Q50" s="76" t="n">
        <f aca="false">(D50-$C50)*Q$11+E50*Q$12+F50*Q$13+G50*Q$14</f>
        <v>21579.2739195577</v>
      </c>
      <c r="R50" s="76" t="n">
        <f aca="false">(D50-$C50)*R$11+E50*R$12+F50*R$13+G50*R$14</f>
        <v>21579.2739195577</v>
      </c>
      <c r="S50" s="76" t="n">
        <f aca="false">(D50-$C50)*S$11+E50*S$12+F50*S$13+G50*S$14</f>
        <v>21110.9829632742</v>
      </c>
      <c r="T50" s="76" t="n">
        <f aca="false">(D50-$C50)*T$11+E50*T$12+F50*T$13+G50*T$14</f>
        <v>20759.7647460615</v>
      </c>
      <c r="U50" s="66" t="n">
        <f aca="false">SUM(H50:T50)</f>
        <v>268321.62787896</v>
      </c>
      <c r="V50" s="116" t="n">
        <f aca="false">SUM(H$14:T$14)</f>
        <v>0.354838709677419</v>
      </c>
      <c r="W50" s="28" t="n">
        <f aca="false">G50*(1-V50)</f>
        <v>59313.6135601758</v>
      </c>
    </row>
    <row r="51" customFormat="false" ht="15" hidden="false" customHeight="false" outlineLevel="0" collapsed="false">
      <c r="A51" s="27" t="s">
        <v>715</v>
      </c>
      <c r="B51" s="63" t="s">
        <v>716</v>
      </c>
      <c r="C51" s="28" t="n">
        <v>0</v>
      </c>
      <c r="D51" s="67" t="n">
        <f aca="false">Rebates!M24</f>
        <v>0</v>
      </c>
      <c r="E51" s="67" t="n">
        <f aca="false">Rebates!N24</f>
        <v>0</v>
      </c>
      <c r="F51" s="67" t="n">
        <f aca="false">Rebates!O24</f>
        <v>17703.99902685</v>
      </c>
      <c r="G51" s="67" t="n">
        <f aca="false">Rebates!P24</f>
        <v>0</v>
      </c>
      <c r="H51" s="76" t="n">
        <f aca="false">(D51-$C51)*H$15+E51*H$16+F51*H$17+G51*H$18</f>
        <v>0</v>
      </c>
      <c r="I51" s="76" t="n">
        <f aca="false">(D51-$C51)*I$15+E51*I$16+F51*I$17+G51*I$18</f>
        <v>0</v>
      </c>
      <c r="J51" s="76" t="n">
        <f aca="false">(D51-$C51)*J$15+E51*J$16+F51*J$17+G51*J$18</f>
        <v>0</v>
      </c>
      <c r="K51" s="76" t="n">
        <f aca="false">(D51-$C51)*K$15+E51*K$16+F51*K$17+G51*K$18</f>
        <v>0</v>
      </c>
      <c r="L51" s="76" t="n">
        <f aca="false">(D51-$C51)*L$15+E51*L$16+F51*L$17+G51*L$18</f>
        <v>0</v>
      </c>
      <c r="M51" s="76" t="n">
        <f aca="false">(D51-$C51)*M$15+E51*M$16+F51*M$17+G51*M$18</f>
        <v>0</v>
      </c>
      <c r="N51" s="76" t="n">
        <f aca="false">(D51-$C51)*N$15+E51*N$16+F51*N$17+G51*N$18</f>
        <v>0</v>
      </c>
      <c r="O51" s="76" t="n">
        <f aca="false">(D51-$C51)*O$15+E51*O$16+F51*O$17+G51*O$18</f>
        <v>0</v>
      </c>
      <c r="P51" s="76" t="n">
        <f aca="false">(D51-$C51)*P$15+E51*P$16+F51*P$17+G51*P$18</f>
        <v>0</v>
      </c>
      <c r="Q51" s="76" t="n">
        <f aca="false">(D51-$C51)*Q$15+E51*Q$16+F51*Q$17+G51*Q$18</f>
        <v>0</v>
      </c>
      <c r="R51" s="76" t="n">
        <f aca="false">(D51-$C51)*R$15+E51*R$16+F51*R$17+G51*R$18</f>
        <v>0</v>
      </c>
      <c r="S51" s="76" t="n">
        <f aca="false">(D51-$C51)*S$15+E51*S$16+F51*S$17+G51*S$18</f>
        <v>17703.99902685</v>
      </c>
      <c r="T51" s="76" t="n">
        <f aca="false">(D51-$C51)*T$15+E51*T$16+F51*T$17+G51*T$18</f>
        <v>0</v>
      </c>
      <c r="U51" s="66" t="n">
        <f aca="false">SUM(H51:T51)</f>
        <v>17703.99902685</v>
      </c>
      <c r="V51" s="116" t="n">
        <f aca="false">SUM(H$18:T$18)</f>
        <v>0</v>
      </c>
      <c r="W51" s="28" t="n">
        <f aca="false">G51*(1-V51)</f>
        <v>0</v>
      </c>
    </row>
    <row r="52" customFormat="false" ht="15" hidden="false" customHeight="false" outlineLevel="0" collapsed="false">
      <c r="A52" s="80" t="s">
        <v>717</v>
      </c>
      <c r="B52" s="117" t="s">
        <v>718</v>
      </c>
      <c r="C52" s="118" t="n">
        <f aca="false">C49+C50+C51</f>
        <v>238370</v>
      </c>
      <c r="D52" s="119" t="n">
        <f aca="false">D49+D50+D51</f>
        <v>650098.040105225</v>
      </c>
      <c r="E52" s="119" t="n">
        <f aca="false">E49+E50+E51</f>
        <v>784708.868942402</v>
      </c>
      <c r="F52" s="119" t="n">
        <f aca="false">F49+F50+F51</f>
        <v>870807.038073704</v>
      </c>
      <c r="G52" s="119" t="n">
        <f aca="false">G49+G50+G51</f>
        <v>928010.471304079</v>
      </c>
      <c r="H52" s="61" t="n">
        <f aca="false">H49+H50+H51</f>
        <v>151689.277933504</v>
      </c>
      <c r="I52" s="61" t="n">
        <f aca="false">I49+I50+I51</f>
        <v>151689.277933504</v>
      </c>
      <c r="J52" s="61" t="n">
        <f aca="false">J49+J50+J51</f>
        <v>158975.862879662</v>
      </c>
      <c r="K52" s="61" t="n">
        <f aca="false">K49+K50+K51</f>
        <v>177192.325245058</v>
      </c>
      <c r="L52" s="61" t="n">
        <f aca="false">L49+L50+L51</f>
        <v>177192.325245058</v>
      </c>
      <c r="M52" s="61" t="n">
        <f aca="false">M49+M50+M51</f>
        <v>177192.325245058</v>
      </c>
      <c r="N52" s="61" t="n">
        <f aca="false">N49+N50+N51</f>
        <v>177192.325245058</v>
      </c>
      <c r="O52" s="61" t="n">
        <f aca="false">O49+O50+O51</f>
        <v>195933.797130093</v>
      </c>
      <c r="P52" s="61" t="n">
        <f aca="false">P49+P50+P51</f>
        <v>199057.375777599</v>
      </c>
      <c r="Q52" s="61" t="n">
        <f aca="false">Q49+Q50+Q51</f>
        <v>199057.375777599</v>
      </c>
      <c r="R52" s="61" t="n">
        <f aca="false">R49+R50+R51</f>
        <v>199057.375777599</v>
      </c>
      <c r="S52" s="61" t="n">
        <f aca="false">S49+S50+S51</f>
        <v>222757.589551417</v>
      </c>
      <c r="T52" s="61" t="n">
        <f aca="false">T49+T50+T51</f>
        <v>209550.751584792</v>
      </c>
      <c r="U52" s="61" t="n">
        <f aca="false">SUM(H52:T52)</f>
        <v>2396537.985326</v>
      </c>
      <c r="V52" s="83"/>
      <c r="W52" s="83"/>
    </row>
    <row r="53" customFormat="false" ht="15" hidden="false" customHeight="false" outlineLevel="0" collapsed="false">
      <c r="A53" s="21" t="s">
        <v>719</v>
      </c>
      <c r="B53" s="22"/>
      <c r="C53" s="22"/>
      <c r="D53" s="22"/>
      <c r="E53" s="22"/>
      <c r="F53" s="22"/>
      <c r="G53" s="22"/>
      <c r="H53" s="22"/>
      <c r="I53" s="22"/>
      <c r="J53" s="22"/>
      <c r="K53" s="22"/>
      <c r="L53" s="22"/>
      <c r="M53" s="22"/>
      <c r="N53" s="22"/>
      <c r="O53" s="22"/>
      <c r="P53" s="22"/>
      <c r="Q53" s="22"/>
      <c r="R53" s="22"/>
      <c r="S53" s="22"/>
      <c r="T53" s="22"/>
      <c r="U53" s="22"/>
      <c r="V53" s="22"/>
      <c r="W53" s="22"/>
    </row>
    <row r="54" customFormat="false" ht="15" hidden="false" customHeight="false" outlineLevel="0" collapsed="false">
      <c r="A54" s="27" t="s">
        <v>720</v>
      </c>
      <c r="B54" s="63" t="s">
        <v>721</v>
      </c>
      <c r="C54" s="28" t="n">
        <v>0</v>
      </c>
      <c r="D54" s="67" t="n">
        <f aca="false">-(People!M179+People!M180)</f>
        <v>-107045.9670483</v>
      </c>
      <c r="E54" s="67" t="n">
        <f aca="false">-(People!N179+People!N180)</f>
        <v>-110870.538348169</v>
      </c>
      <c r="F54" s="67" t="n">
        <f aca="false">-(People!O179+People!O180)</f>
        <v>-209971.193574298</v>
      </c>
      <c r="G54" s="67" t="n">
        <f aca="false">-(People!P179+People!P180)</f>
        <v>-120717.286182955</v>
      </c>
      <c r="H54" s="76" t="n">
        <f aca="false">(D54-$C54)*H$19+E54*H$20+F54*H$21+G54*H$22</f>
        <v>-0</v>
      </c>
      <c r="I54" s="76" t="n">
        <f aca="false">(D54-$C54)*I$19+E54*I$20+F54*I$21+G54*I$22</f>
        <v>-0</v>
      </c>
      <c r="J54" s="76" t="n">
        <f aca="false">(D54-$C54)*J$19+E54*J$20+F54*J$21+G54*J$22</f>
        <v>-107045.9670483</v>
      </c>
      <c r="K54" s="76" t="n">
        <f aca="false">(D54-$C54)*K$19+E54*K$20+F54*K$21+G54*K$22</f>
        <v>-0</v>
      </c>
      <c r="L54" s="76" t="n">
        <f aca="false">(D54-$C54)*L$19+E54*L$20+F54*L$21+G54*L$22</f>
        <v>-0</v>
      </c>
      <c r="M54" s="76" t="n">
        <f aca="false">(D54-$C54)*M$19+E54*M$20+F54*M$21+G54*M$22</f>
        <v>-0</v>
      </c>
      <c r="N54" s="76" t="n">
        <f aca="false">(D54-$C54)*N$19+E54*N$20+F54*N$21+G54*N$22</f>
        <v>-110870.538348169</v>
      </c>
      <c r="O54" s="76" t="n">
        <f aca="false">(D54-$C54)*O$19+E54*O$20+F54*O$21+G54*O$22</f>
        <v>-0</v>
      </c>
      <c r="P54" s="76" t="n">
        <f aca="false">(D54-$C54)*P$19+E54*P$20+F54*P$21+G54*P$22</f>
        <v>-0</v>
      </c>
      <c r="Q54" s="76" t="n">
        <f aca="false">(D54-$C54)*Q$19+E54*Q$20+F54*Q$21+G54*Q$22</f>
        <v>-0</v>
      </c>
      <c r="R54" s="76" t="n">
        <f aca="false">(D54-$C54)*R$19+E54*R$20+F54*R$21+G54*R$22</f>
        <v>-0</v>
      </c>
      <c r="S54" s="76" t="n">
        <f aca="false">(D54-$C54)*S$19+E54*S$20+F54*S$21+G54*S$22</f>
        <v>-209971.193574298</v>
      </c>
      <c r="T54" s="76" t="n">
        <f aca="false">(D54-$C54)*T$19+E54*T$20+F54*T$21+G54*T$22</f>
        <v>-0</v>
      </c>
      <c r="U54" s="66" t="n">
        <f aca="false">SUM(H54:T54)</f>
        <v>-427887.698970768</v>
      </c>
      <c r="V54" s="116" t="n">
        <f aca="false">SUM(H$22:T$22)</f>
        <v>0</v>
      </c>
      <c r="W54" s="28" t="n">
        <f aca="false">G54*(1-V54)</f>
        <v>-120717.286182955</v>
      </c>
    </row>
    <row r="55" customFormat="false" ht="15" hidden="false" customHeight="false" outlineLevel="0" collapsed="false">
      <c r="A55" s="27" t="s">
        <v>722</v>
      </c>
      <c r="B55" s="63" t="s">
        <v>723</v>
      </c>
      <c r="C55" s="28" t="n">
        <v>0</v>
      </c>
      <c r="D55" s="67" t="n">
        <f aca="false">-People!M174</f>
        <v>-46692.32</v>
      </c>
      <c r="E55" s="67" t="n">
        <f aca="false">-People!N174</f>
        <v>-44543.769725</v>
      </c>
      <c r="F55" s="67" t="n">
        <f aca="false">-People!O174</f>
        <v>-45835.6079790555</v>
      </c>
      <c r="G55" s="67" t="n">
        <f aca="false">-People!P174</f>
        <v>-92428.0785953084</v>
      </c>
      <c r="H55" s="76" t="n">
        <f aca="false">(D55-$C55)*H$23+E55*H$24+F55*H$25+G55*H$26</f>
        <v>-0</v>
      </c>
      <c r="I55" s="76" t="n">
        <f aca="false">(D55-$C55)*I$23+E55*I$24+F55*I$25+G55*I$26</f>
        <v>-46692.32</v>
      </c>
      <c r="J55" s="76" t="n">
        <f aca="false">(D55-$C55)*J$23+E55*J$24+F55*J$25+G55*J$26</f>
        <v>-0</v>
      </c>
      <c r="K55" s="76" t="n">
        <f aca="false">(D55-$C55)*K$23+E55*K$24+F55*K$25+G55*K$26</f>
        <v>-0</v>
      </c>
      <c r="L55" s="76" t="n">
        <f aca="false">(D55-$C55)*L$23+E55*L$24+F55*L$25+G55*L$26</f>
        <v>-0</v>
      </c>
      <c r="M55" s="76" t="n">
        <f aca="false">(D55-$C55)*M$23+E55*M$24+F55*M$25+G55*M$26</f>
        <v>-44543.769725</v>
      </c>
      <c r="N55" s="76" t="n">
        <f aca="false">(D55-$C55)*N$23+E55*N$24+F55*N$25+G55*N$26</f>
        <v>-0</v>
      </c>
      <c r="O55" s="76" t="n">
        <f aca="false">(D55-$C55)*O$23+E55*O$24+F55*O$25+G55*O$26</f>
        <v>-0</v>
      </c>
      <c r="P55" s="76" t="n">
        <f aca="false">(D55-$C55)*P$23+E55*P$24+F55*P$25+G55*P$26</f>
        <v>-0</v>
      </c>
      <c r="Q55" s="76" t="n">
        <f aca="false">(D55-$C55)*Q$23+E55*Q$24+F55*Q$25+G55*Q$26</f>
        <v>-45835.6079790555</v>
      </c>
      <c r="R55" s="76" t="n">
        <f aca="false">(D55-$C55)*R$23+E55*R$24+F55*R$25+G55*R$26</f>
        <v>-0</v>
      </c>
      <c r="S55" s="76" t="n">
        <f aca="false">(D55-$C55)*S$23+E55*S$24+F55*S$25+G55*S$26</f>
        <v>-0</v>
      </c>
      <c r="T55" s="76" t="n">
        <f aca="false">(D55-$C55)*T$23+E55*T$24+F55*T$25+G55*T$26</f>
        <v>-0</v>
      </c>
      <c r="U55" s="66" t="n">
        <f aca="false">SUM(H55:T55)</f>
        <v>-137071.697704056</v>
      </c>
      <c r="V55" s="116" t="n">
        <f aca="false">SUM(H$26:T$26)</f>
        <v>0</v>
      </c>
      <c r="W55" s="28" t="n">
        <f aca="false">G55*(1-V55)</f>
        <v>-92428.0785953084</v>
      </c>
    </row>
    <row r="56" customFormat="false" ht="15" hidden="false" customHeight="false" outlineLevel="0" collapsed="false">
      <c r="A56" s="27" t="s">
        <v>724</v>
      </c>
      <c r="B56" s="63" t="s">
        <v>723</v>
      </c>
      <c r="C56" s="28" t="n">
        <v>0</v>
      </c>
      <c r="D56" s="67" t="n">
        <f aca="false">-People!M177</f>
        <v>-20916.9</v>
      </c>
      <c r="E56" s="67" t="n">
        <f aca="false">-People!N177</f>
        <v>-19986.6785183667</v>
      </c>
      <c r="F56" s="67" t="n">
        <f aca="false">-People!O177</f>
        <v>-20374.9352659695</v>
      </c>
      <c r="G56" s="67" t="n">
        <f aca="false">-People!P177</f>
        <v>-41156.1624022237</v>
      </c>
      <c r="H56" s="76" t="n">
        <f aca="false">(D56-$C56)*H$23+E56*H$24+F56*H$25+G56*H$26</f>
        <v>-0</v>
      </c>
      <c r="I56" s="76" t="n">
        <f aca="false">(D56-$C56)*I$23+E56*I$24+F56*I$25+G56*I$26</f>
        <v>-20916.9</v>
      </c>
      <c r="J56" s="76" t="n">
        <f aca="false">(D56-$C56)*J$23+E56*J$24+F56*J$25+G56*J$26</f>
        <v>-0</v>
      </c>
      <c r="K56" s="76" t="n">
        <f aca="false">(D56-$C56)*K$23+E56*K$24+F56*K$25+G56*K$26</f>
        <v>-0</v>
      </c>
      <c r="L56" s="76" t="n">
        <f aca="false">(D56-$C56)*L$23+E56*L$24+F56*L$25+G56*L$26</f>
        <v>-0</v>
      </c>
      <c r="M56" s="76" t="n">
        <f aca="false">(D56-$C56)*M$23+E56*M$24+F56*M$25+G56*M$26</f>
        <v>-19986.6785183667</v>
      </c>
      <c r="N56" s="76" t="n">
        <f aca="false">(D56-$C56)*N$23+E56*N$24+F56*N$25+G56*N$26</f>
        <v>-0</v>
      </c>
      <c r="O56" s="76" t="n">
        <f aca="false">(D56-$C56)*O$23+E56*O$24+F56*O$25+G56*O$26</f>
        <v>-0</v>
      </c>
      <c r="P56" s="76" t="n">
        <f aca="false">(D56-$C56)*P$23+E56*P$24+F56*P$25+G56*P$26</f>
        <v>-0</v>
      </c>
      <c r="Q56" s="76" t="n">
        <f aca="false">(D56-$C56)*Q$23+E56*Q$24+F56*Q$25+G56*Q$26</f>
        <v>-20374.9352659695</v>
      </c>
      <c r="R56" s="76" t="n">
        <f aca="false">(D56-$C56)*R$23+E56*R$24+F56*R$25+G56*R$26</f>
        <v>-0</v>
      </c>
      <c r="S56" s="76" t="n">
        <f aca="false">(D56-$C56)*S$23+E56*S$24+F56*S$25+G56*S$26</f>
        <v>-0</v>
      </c>
      <c r="T56" s="76" t="n">
        <f aca="false">(D56-$C56)*T$23+E56*T$24+F56*T$25+G56*T$26</f>
        <v>-0</v>
      </c>
      <c r="U56" s="66" t="n">
        <f aca="false">SUM(H56:T56)</f>
        <v>-61278.5137843362</v>
      </c>
      <c r="V56" s="116" t="n">
        <f aca="false">SUM(H$26:T$26)</f>
        <v>0</v>
      </c>
      <c r="W56" s="28" t="n">
        <f aca="false">G56*(1-V56)</f>
        <v>-41156.1624022237</v>
      </c>
    </row>
    <row r="57" customFormat="false" ht="15" hidden="false" customHeight="false" outlineLevel="0" collapsed="false">
      <c r="A57" s="27" t="s">
        <v>546</v>
      </c>
      <c r="B57" s="63" t="s">
        <v>723</v>
      </c>
      <c r="C57" s="28" t="n">
        <v>0</v>
      </c>
      <c r="D57" s="67" t="n">
        <f aca="false">-Overheads!M29</f>
        <v>-2625</v>
      </c>
      <c r="E57" s="67" t="n">
        <f aca="false">-Overheads!N29</f>
        <v>-2625</v>
      </c>
      <c r="F57" s="67" t="n">
        <f aca="false">-Overheads!O29</f>
        <v>-2625</v>
      </c>
      <c r="G57" s="67" t="n">
        <f aca="false">-Overheads!P29</f>
        <v>-2625</v>
      </c>
      <c r="H57" s="76" t="n">
        <f aca="false">(D57-$C57)*H$23+E57*H$24+F57*H$25+G57*H$26</f>
        <v>-0</v>
      </c>
      <c r="I57" s="76" t="n">
        <f aca="false">(D57-$C57)*I$23+E57*I$24+F57*I$25+G57*I$26</f>
        <v>-2625</v>
      </c>
      <c r="J57" s="76" t="n">
        <f aca="false">(D57-$C57)*J$23+E57*J$24+F57*J$25+G57*J$26</f>
        <v>-0</v>
      </c>
      <c r="K57" s="76" t="n">
        <f aca="false">(D57-$C57)*K$23+E57*K$24+F57*K$25+G57*K$26</f>
        <v>-0</v>
      </c>
      <c r="L57" s="76" t="n">
        <f aca="false">(D57-$C57)*L$23+E57*L$24+F57*L$25+G57*L$26</f>
        <v>-0</v>
      </c>
      <c r="M57" s="76" t="n">
        <f aca="false">(D57-$C57)*M$23+E57*M$24+F57*M$25+G57*M$26</f>
        <v>-2625</v>
      </c>
      <c r="N57" s="76" t="n">
        <f aca="false">(D57-$C57)*N$23+E57*N$24+F57*N$25+G57*N$26</f>
        <v>-0</v>
      </c>
      <c r="O57" s="76" t="n">
        <f aca="false">(D57-$C57)*O$23+E57*O$24+F57*O$25+G57*O$26</f>
        <v>-0</v>
      </c>
      <c r="P57" s="76" t="n">
        <f aca="false">(D57-$C57)*P$23+E57*P$24+F57*P$25+G57*P$26</f>
        <v>-0</v>
      </c>
      <c r="Q57" s="76" t="n">
        <f aca="false">(D57-$C57)*Q$23+E57*Q$24+F57*Q$25+G57*Q$26</f>
        <v>-2625</v>
      </c>
      <c r="R57" s="76" t="n">
        <f aca="false">(D57-$C57)*R$23+E57*R$24+F57*R$25+G57*R$26</f>
        <v>-0</v>
      </c>
      <c r="S57" s="76" t="n">
        <f aca="false">(D57-$C57)*S$23+E57*S$24+F57*S$25+G57*S$26</f>
        <v>-0</v>
      </c>
      <c r="T57" s="76" t="n">
        <f aca="false">(D57-$C57)*T$23+E57*T$24+F57*T$25+G57*T$26</f>
        <v>-0</v>
      </c>
      <c r="U57" s="66" t="n">
        <f aca="false">SUM(H57:T57)</f>
        <v>-7875</v>
      </c>
      <c r="V57" s="116" t="n">
        <f aca="false">SUM(H$26:T$26)</f>
        <v>0</v>
      </c>
      <c r="W57" s="28" t="n">
        <f aca="false">G57*(1-V57)</f>
        <v>-2625</v>
      </c>
    </row>
    <row r="58" customFormat="false" ht="15" hidden="false" customHeight="false" outlineLevel="0" collapsed="false">
      <c r="A58" s="27" t="s">
        <v>725</v>
      </c>
      <c r="B58" s="63" t="s">
        <v>726</v>
      </c>
      <c r="C58" s="28" t="n">
        <f aca="false">D58</f>
        <v>-3494.81958333333</v>
      </c>
      <c r="D58" s="67" t="n">
        <f aca="false">-People!M181</f>
        <v>-3494.81958333333</v>
      </c>
      <c r="E58" s="67" t="n">
        <f aca="false">-People!N181</f>
        <v>-3602.77229805556</v>
      </c>
      <c r="F58" s="67" t="n">
        <f aca="false">-People!O181</f>
        <v>-3703.13804309607</v>
      </c>
      <c r="G58" s="67" t="n">
        <f aca="false">-People!P181</f>
        <v>-3700.67512612681</v>
      </c>
      <c r="H58" s="76" t="n">
        <f aca="false">(D58-$C58)*H$43+E58*H$44+F58*H$45+G58*H$46</f>
        <v>0</v>
      </c>
      <c r="I58" s="76" t="n">
        <f aca="false">(D58-$C58)*I$43+E58*I$44+F58*I$45+G58*I$46</f>
        <v>0</v>
      </c>
      <c r="J58" s="76" t="n">
        <f aca="false">(D58-$C58)*J$43+E58*J$44+F58*J$45+G58*J$46</f>
        <v>0</v>
      </c>
      <c r="K58" s="76" t="n">
        <f aca="false">(D58-$C58)*K$43+E58*K$44+F58*K$45+G58*K$46</f>
        <v>0</v>
      </c>
      <c r="L58" s="76" t="n">
        <f aca="false">(D58-$C58)*L$43+E58*L$44+F58*L$45+G58*L$46</f>
        <v>-3602.77229805556</v>
      </c>
      <c r="M58" s="76" t="n">
        <f aca="false">(D58-$C58)*M$43+E58*M$44+F58*M$45+G58*M$46</f>
        <v>0</v>
      </c>
      <c r="N58" s="76" t="n">
        <f aca="false">(D58-$C58)*N$43+E58*N$44+F58*N$45+G58*N$46</f>
        <v>0</v>
      </c>
      <c r="O58" s="76" t="n">
        <f aca="false">(D58-$C58)*O$43+E58*O$44+F58*O$45+G58*O$46</f>
        <v>0</v>
      </c>
      <c r="P58" s="76" t="n">
        <f aca="false">(D58-$C58)*P$43+E58*P$44+F58*P$45+G58*P$46</f>
        <v>-3703.13804309607</v>
      </c>
      <c r="Q58" s="76" t="n">
        <f aca="false">(D58-$C58)*Q$43+E58*Q$44+F58*Q$45+G58*Q$46</f>
        <v>0</v>
      </c>
      <c r="R58" s="76" t="n">
        <f aca="false">(D58-$C58)*R$43+E58*R$44+F58*R$45+G58*R$46</f>
        <v>0</v>
      </c>
      <c r="S58" s="76" t="n">
        <f aca="false">(D58-$C58)*S$43+E58*S$44+F58*S$45+G58*S$46</f>
        <v>0</v>
      </c>
      <c r="T58" s="76" t="n">
        <f aca="false">(D58-$C58)*T$43+E58*T$44+F58*T$45+G58*T$46</f>
        <v>-3700.67512612681</v>
      </c>
      <c r="U58" s="66" t="n">
        <f aca="false">SUM(H58:T58)</f>
        <v>-11006.5854672784</v>
      </c>
      <c r="V58" s="116" t="n">
        <f aca="false">SUM(H$46:T$46)</f>
        <v>1</v>
      </c>
      <c r="W58" s="28" t="n">
        <f aca="false">G58*(1-V58)</f>
        <v>-0</v>
      </c>
    </row>
    <row r="59" customFormat="false" ht="15" hidden="false" customHeight="false" outlineLevel="0" collapsed="false">
      <c r="A59" s="27" t="s">
        <v>727</v>
      </c>
      <c r="B59" s="63" t="s">
        <v>726</v>
      </c>
      <c r="C59" s="28" t="n">
        <f aca="false">D59</f>
        <v>-15740.7</v>
      </c>
      <c r="D59" s="67" t="n">
        <f aca="false">-Overheads!M32</f>
        <v>-15740.7</v>
      </c>
      <c r="E59" s="67" t="n">
        <f aca="false">-Overheads!N32</f>
        <v>-15686.0451666667</v>
      </c>
      <c r="F59" s="67" t="n">
        <f aca="false">-Overheads!O32</f>
        <v>-15687.3279730556</v>
      </c>
      <c r="G59" s="67" t="n">
        <f aca="false">-Overheads!P32</f>
        <v>-15687.9506467032</v>
      </c>
      <c r="H59" s="76" t="n">
        <f aca="false">(D59-$C59)*H$43+E59*H$44+F59*H$45+G59*H$46</f>
        <v>0</v>
      </c>
      <c r="I59" s="76" t="n">
        <f aca="false">(D59-$C59)*I$43+E59*I$44+F59*I$45+G59*I$46</f>
        <v>0</v>
      </c>
      <c r="J59" s="76" t="n">
        <f aca="false">(D59-$C59)*J$43+E59*J$44+F59*J$45+G59*J$46</f>
        <v>0</v>
      </c>
      <c r="K59" s="76" t="n">
        <f aca="false">(D59-$C59)*K$43+E59*K$44+F59*K$45+G59*K$46</f>
        <v>0</v>
      </c>
      <c r="L59" s="76" t="n">
        <f aca="false">(D59-$C59)*L$43+E59*L$44+F59*L$45+G59*L$46</f>
        <v>-15686.0451666667</v>
      </c>
      <c r="M59" s="76" t="n">
        <f aca="false">(D59-$C59)*M$43+E59*M$44+F59*M$45+G59*M$46</f>
        <v>0</v>
      </c>
      <c r="N59" s="76" t="n">
        <f aca="false">(D59-$C59)*N$43+E59*N$44+F59*N$45+G59*N$46</f>
        <v>0</v>
      </c>
      <c r="O59" s="76" t="n">
        <f aca="false">(D59-$C59)*O$43+E59*O$44+F59*O$45+G59*O$46</f>
        <v>0</v>
      </c>
      <c r="P59" s="76" t="n">
        <f aca="false">(D59-$C59)*P$43+E59*P$44+F59*P$45+G59*P$46</f>
        <v>-15687.3279730556</v>
      </c>
      <c r="Q59" s="76" t="n">
        <f aca="false">(D59-$C59)*Q$43+E59*Q$44+F59*Q$45+G59*Q$46</f>
        <v>0</v>
      </c>
      <c r="R59" s="76" t="n">
        <f aca="false">(D59-$C59)*R$43+E59*R$44+F59*R$45+G59*R$46</f>
        <v>0</v>
      </c>
      <c r="S59" s="76" t="n">
        <f aca="false">(D59-$C59)*S$43+E59*S$44+F59*S$45+G59*S$46</f>
        <v>0</v>
      </c>
      <c r="T59" s="76" t="n">
        <f aca="false">(D59-$C59)*T$43+E59*T$44+F59*T$45+G59*T$46</f>
        <v>-15687.9506467032</v>
      </c>
      <c r="U59" s="66" t="n">
        <f aca="false">SUM(H59:T59)</f>
        <v>-47061.3237864255</v>
      </c>
      <c r="V59" s="116" t="n">
        <f aca="false">SUM(H$46:T$46)</f>
        <v>1</v>
      </c>
      <c r="W59" s="28" t="n">
        <f aca="false">G59*(1-V59)</f>
        <v>-0</v>
      </c>
    </row>
    <row r="60" customFormat="false" ht="15" hidden="false" customHeight="false" outlineLevel="0" collapsed="false">
      <c r="A60" s="27" t="s">
        <v>728</v>
      </c>
      <c r="B60" s="63" t="s">
        <v>729</v>
      </c>
      <c r="C60" s="28" t="n">
        <f aca="false">D60</f>
        <v>-7875</v>
      </c>
      <c r="D60" s="67" t="n">
        <f aca="false">-Overheads!M27</f>
        <v>-7875</v>
      </c>
      <c r="E60" s="67" t="n">
        <f aca="false">-Overheads!N27</f>
        <v>-7875</v>
      </c>
      <c r="F60" s="67" t="n">
        <f aca="false">-Overheads!O27</f>
        <v>-7875</v>
      </c>
      <c r="G60" s="67" t="n">
        <f aca="false">-Overheads!P27</f>
        <v>-7875</v>
      </c>
      <c r="H60" s="76" t="n">
        <f aca="false">(D60-$C60)*H$39+E60*H$40+F60*H$41+G60*H$42</f>
        <v>0</v>
      </c>
      <c r="I60" s="76" t="n">
        <f aca="false">(D60-$C60)*I$39+E60*I$40+F60*I$41+G60*I$42</f>
        <v>0</v>
      </c>
      <c r="J60" s="76" t="n">
        <f aca="false">(D60-$C60)*J$39+E60*J$40+F60*J$41+G60*J$42</f>
        <v>-7875</v>
      </c>
      <c r="K60" s="76" t="n">
        <f aca="false">(D60-$C60)*K$39+E60*K$40+F60*K$41+G60*K$42</f>
        <v>0</v>
      </c>
      <c r="L60" s="76" t="n">
        <f aca="false">(D60-$C60)*L$39+E60*L$40+F60*L$41+G60*L$42</f>
        <v>0</v>
      </c>
      <c r="M60" s="76" t="n">
        <f aca="false">(D60-$C60)*M$39+E60*M$40+F60*M$41+G60*M$42</f>
        <v>0</v>
      </c>
      <c r="N60" s="76" t="n">
        <f aca="false">(D60-$C60)*N$39+E60*N$40+F60*N$41+G60*N$42</f>
        <v>0</v>
      </c>
      <c r="O60" s="76" t="n">
        <f aca="false">(D60-$C60)*O$39+E60*O$40+F60*O$41+G60*O$42</f>
        <v>-7875</v>
      </c>
      <c r="P60" s="76" t="n">
        <f aca="false">(D60-$C60)*P$39+E60*P$40+F60*P$41+G60*P$42</f>
        <v>0</v>
      </c>
      <c r="Q60" s="76" t="n">
        <f aca="false">(D60-$C60)*Q$39+E60*Q$40+F60*Q$41+G60*Q$42</f>
        <v>0</v>
      </c>
      <c r="R60" s="76" t="n">
        <f aca="false">(D60-$C60)*R$39+E60*R$40+F60*R$41+G60*R$42</f>
        <v>0</v>
      </c>
      <c r="S60" s="76" t="n">
        <f aca="false">(D60-$C60)*S$39+E60*S$40+F60*S$41+G60*S$42</f>
        <v>-7875</v>
      </c>
      <c r="T60" s="76" t="n">
        <f aca="false">(D60-$C60)*T$39+E60*T$40+F60*T$41+G60*T$42</f>
        <v>0</v>
      </c>
      <c r="U60" s="66" t="n">
        <f aca="false">SUM(H60:T60)</f>
        <v>-23625</v>
      </c>
      <c r="V60" s="116" t="n">
        <f aca="false">SUM(H$42:T$42)</f>
        <v>1</v>
      </c>
      <c r="W60" s="28" t="n">
        <f aca="false">G60*(1-V60)</f>
        <v>-0</v>
      </c>
    </row>
    <row r="61" customFormat="false" ht="15" hidden="false" customHeight="false" outlineLevel="0" collapsed="false">
      <c r="A61" s="27" t="s">
        <v>730</v>
      </c>
      <c r="B61" s="63" t="s">
        <v>713</v>
      </c>
      <c r="C61" s="115" t="n">
        <v>-36506</v>
      </c>
      <c r="D61" s="67" t="n">
        <f aca="false">-Payables!M10</f>
        <v>-99562.9462999999</v>
      </c>
      <c r="E61" s="67" t="n">
        <f aca="false">-Payables!N10</f>
        <v>-321225.06242</v>
      </c>
      <c r="F61" s="67" t="n">
        <f aca="false">-Payables!O10</f>
        <v>-291670.628583226</v>
      </c>
      <c r="G61" s="67" t="n">
        <f aca="false">-Payables!P10</f>
        <v>-221144.618776774</v>
      </c>
      <c r="H61" s="76" t="n">
        <f aca="false">(D61-$C61)*H$11+E61*H$12+F61*H$13+G61*H$14</f>
        <v>-23231.5065315789</v>
      </c>
      <c r="I61" s="76" t="n">
        <f aca="false">(D61-$C61)*I$11+E61*I$12+F61*I$13+G61*I$14</f>
        <v>-23231.5065315789</v>
      </c>
      <c r="J61" s="76" t="n">
        <f aca="false">(D61-$C61)*J$11+E61*J$12+F61*J$13+G61*J$14</f>
        <v>-37318.130812326</v>
      </c>
      <c r="K61" s="76" t="n">
        <f aca="false">(D61-$C61)*K$11+E61*K$12+F61*K$13+G61*K$14</f>
        <v>-72534.6915141936</v>
      </c>
      <c r="L61" s="76" t="n">
        <f aca="false">(D61-$C61)*L$11+E61*L$12+F61*L$13+G61*L$14</f>
        <v>-72534.6915141936</v>
      </c>
      <c r="M61" s="76" t="n">
        <f aca="false">(D61-$C61)*M$11+E61*M$12+F61*M$13+G61*M$14</f>
        <v>-72534.6915141936</v>
      </c>
      <c r="N61" s="76" t="n">
        <f aca="false">(D61-$C61)*N$11+E61*N$12+F61*N$13+G61*N$14</f>
        <v>-72534.6915141936</v>
      </c>
      <c r="O61" s="76" t="n">
        <f aca="false">(D61-$C61)*O$11+E61*O$12+F61*O$13+G61*O$14</f>
        <v>-68696.2245043871</v>
      </c>
      <c r="P61" s="76" t="n">
        <f aca="false">(D61-$C61)*P$11+E61*P$12+F61*P$13+G61*P$14</f>
        <v>-68056.4800027527</v>
      </c>
      <c r="Q61" s="76" t="n">
        <f aca="false">(D61-$C61)*Q$11+E61*Q$12+F61*Q$13+G61*Q$14</f>
        <v>-68056.4800027527</v>
      </c>
      <c r="R61" s="76" t="n">
        <f aca="false">(D61-$C61)*R$11+E61*R$12+F61*R$13+G61*R$14</f>
        <v>-68056.4800027527</v>
      </c>
      <c r="S61" s="76" t="n">
        <f aca="false">(D61-$C61)*S$11+E61*S$12+F61*S$13+G61*S$14</f>
        <v>-57701.8523779063</v>
      </c>
      <c r="T61" s="76" t="n">
        <f aca="false">(D61-$C61)*T$11+E61*T$12+F61*T$13+G61*T$14</f>
        <v>-49935.8816592716</v>
      </c>
      <c r="U61" s="66" t="n">
        <f aca="false">SUM(H61:T61)</f>
        <v>-754423.308482081</v>
      </c>
      <c r="V61" s="116" t="n">
        <f aca="false">SUM(H$14:T$14)</f>
        <v>0.354838709677419</v>
      </c>
      <c r="W61" s="28" t="n">
        <f aca="false">G61*(1-V61)</f>
        <v>-142673.947597919</v>
      </c>
    </row>
    <row r="62" customFormat="false" ht="15" hidden="false" customHeight="false" outlineLevel="0" collapsed="false">
      <c r="A62" s="27" t="s">
        <v>731</v>
      </c>
      <c r="B62" s="63" t="s">
        <v>713</v>
      </c>
      <c r="C62" s="115" t="n">
        <v>-43555</v>
      </c>
      <c r="D62" s="67" t="n">
        <f aca="false">-Payables!M14</f>
        <v>-118786.577</v>
      </c>
      <c r="E62" s="67" t="n">
        <f aca="false">-Payables!N14</f>
        <v>-159519.01229085</v>
      </c>
      <c r="F62" s="67" t="n">
        <f aca="false">-Payables!O14</f>
        <v>-156769.644123452</v>
      </c>
      <c r="G62" s="67" t="n">
        <f aca="false">-Payables!P14</f>
        <v>-163621.337645068</v>
      </c>
      <c r="H62" s="76" t="n">
        <f aca="false">(D62-$C62)*H$11+E62*H$12+F62*H$13+G62*H$14</f>
        <v>-27716.8967894737</v>
      </c>
      <c r="I62" s="76" t="n">
        <f aca="false">(D62-$C62)*I$11+E62*I$12+F62*I$13+G62*I$14</f>
        <v>-27716.8967894737</v>
      </c>
      <c r="J62" s="76" t="n">
        <f aca="false">(D62-$C62)*J$11+E62*J$12+F62*J$13+G62*J$14</f>
        <v>-30089.3326011075</v>
      </c>
      <c r="K62" s="76" t="n">
        <f aca="false">(D62-$C62)*K$11+E62*K$12+F62*K$13+G62*K$14</f>
        <v>-36020.4221301919</v>
      </c>
      <c r="L62" s="76" t="n">
        <f aca="false">(D62-$C62)*L$11+E62*L$12+F62*L$13+G62*L$14</f>
        <v>-36020.4221301919</v>
      </c>
      <c r="M62" s="76" t="n">
        <f aca="false">(D62-$C62)*M$11+E62*M$12+F62*M$13+G62*M$14</f>
        <v>-36020.4221301919</v>
      </c>
      <c r="N62" s="76" t="n">
        <f aca="false">(D62-$C62)*N$11+E62*N$12+F62*N$13+G62*N$14</f>
        <v>-36020.4221301919</v>
      </c>
      <c r="O62" s="76" t="n">
        <f aca="false">(D62-$C62)*O$11+E62*O$12+F62*O$13+G62*O$14</f>
        <v>-36499.7034147179</v>
      </c>
      <c r="P62" s="76" t="n">
        <f aca="false">(D62-$C62)*P$11+E62*P$12+F62*P$13+G62*P$14</f>
        <v>-36579.5836288056</v>
      </c>
      <c r="Q62" s="76" t="n">
        <f aca="false">(D62-$C62)*Q$11+E62*Q$12+F62*Q$13+G62*Q$14</f>
        <v>-36579.5836288056</v>
      </c>
      <c r="R62" s="76" t="n">
        <f aca="false">(D62-$C62)*R$11+E62*R$12+F62*R$13+G62*R$14</f>
        <v>-36579.5836288056</v>
      </c>
      <c r="S62" s="76" t="n">
        <f aca="false">(D62-$C62)*S$11+E62*S$12+F62*S$13+G62*S$14</f>
        <v>-36789.395076225</v>
      </c>
      <c r="T62" s="76" t="n">
        <f aca="false">(D62-$C62)*T$11+E62*T$12+F62*T$13+G62*T$14</f>
        <v>-36946.7536617896</v>
      </c>
      <c r="U62" s="66" t="n">
        <f aca="false">SUM(H62:T62)</f>
        <v>-449579.417739972</v>
      </c>
      <c r="V62" s="116" t="n">
        <f aca="false">SUM(H$14:T$14)</f>
        <v>0.354838709677419</v>
      </c>
      <c r="W62" s="28" t="n">
        <f aca="false">G62*(1-V62)</f>
        <v>-105562.153319399</v>
      </c>
    </row>
    <row r="63" customFormat="false" ht="15" hidden="false" customHeight="false" outlineLevel="0" collapsed="false">
      <c r="A63" s="27" t="s">
        <v>732</v>
      </c>
      <c r="B63" s="63" t="s">
        <v>733</v>
      </c>
      <c r="C63" s="28" t="n">
        <v>0</v>
      </c>
      <c r="D63" s="67" t="n">
        <f aca="false">-Payables!M19</f>
        <v>-20449.917124662</v>
      </c>
      <c r="E63" s="67" t="n">
        <f aca="false">-Payables!N19</f>
        <v>-20483.1278548373</v>
      </c>
      <c r="F63" s="67" t="n">
        <f aca="false">-Payables!O19</f>
        <v>-20412.6608829381</v>
      </c>
      <c r="G63" s="67" t="n">
        <f aca="false">-Payables!P19</f>
        <v>-21502.7644988254</v>
      </c>
      <c r="H63" s="76" t="n">
        <f aca="false">(D63-$C63)*H$31+E63*H$32+F63*H$33+G63*H$34</f>
        <v>-20449.917124662</v>
      </c>
      <c r="I63" s="76" t="n">
        <f aca="false">(D63-$C63)*I$31+E63*I$32+F63*I$33+G63*I$34</f>
        <v>-0</v>
      </c>
      <c r="J63" s="76" t="n">
        <f aca="false">(D63-$C63)*J$31+E63*J$32+F63*J$33+G63*J$34</f>
        <v>-0</v>
      </c>
      <c r="K63" s="76" t="n">
        <f aca="false">(D63-$C63)*K$31+E63*K$32+F63*K$33+G63*K$34</f>
        <v>-0</v>
      </c>
      <c r="L63" s="76" t="n">
        <f aca="false">(D63-$C63)*L$31+E63*L$32+F63*L$33+G63*L$34</f>
        <v>-20483.1278548373</v>
      </c>
      <c r="M63" s="76" t="n">
        <f aca="false">(D63-$C63)*M$31+E63*M$32+F63*M$33+G63*M$34</f>
        <v>-0</v>
      </c>
      <c r="N63" s="76" t="n">
        <f aca="false">(D63-$C63)*N$31+E63*N$32+F63*N$33+G63*N$34</f>
        <v>-0</v>
      </c>
      <c r="O63" s="76" t="n">
        <f aca="false">(D63-$C63)*O$31+E63*O$32+F63*O$33+G63*O$34</f>
        <v>-0</v>
      </c>
      <c r="P63" s="76" t="n">
        <f aca="false">(D63-$C63)*P$31+E63*P$32+F63*P$33+G63*P$34</f>
        <v>-0</v>
      </c>
      <c r="Q63" s="76" t="n">
        <f aca="false">(D63-$C63)*Q$31+E63*Q$32+F63*Q$33+G63*Q$34</f>
        <v>-20412.6608829381</v>
      </c>
      <c r="R63" s="76" t="n">
        <f aca="false">(D63-$C63)*R$31+E63*R$32+F63*R$33+G63*R$34</f>
        <v>-0</v>
      </c>
      <c r="S63" s="76" t="n">
        <f aca="false">(D63-$C63)*S$31+E63*S$32+F63*S$33+G63*S$34</f>
        <v>-0</v>
      </c>
      <c r="T63" s="76" t="n">
        <f aca="false">(D63-$C63)*T$31+E63*T$32+F63*T$33+G63*T$34</f>
        <v>-0</v>
      </c>
      <c r="U63" s="66" t="n">
        <f aca="false">SUM(H63:T63)</f>
        <v>-61345.7058624374</v>
      </c>
      <c r="V63" s="116" t="n">
        <f aca="false">SUM(H$34:T$34)</f>
        <v>0</v>
      </c>
      <c r="W63" s="28" t="n">
        <f aca="false">G63*(1-V63)</f>
        <v>-21502.7644988254</v>
      </c>
    </row>
    <row r="64" customFormat="false" ht="15" hidden="false" customHeight="false" outlineLevel="0" collapsed="false">
      <c r="A64" s="27" t="s">
        <v>734</v>
      </c>
      <c r="B64" s="63" t="s">
        <v>713</v>
      </c>
      <c r="C64" s="115" t="n">
        <v>-16525</v>
      </c>
      <c r="D64" s="67" t="n">
        <f aca="false">-Payables!M25</f>
        <v>-45069.4557</v>
      </c>
      <c r="E64" s="67" t="n">
        <f aca="false">-Payables!N25</f>
        <v>-48958.839302</v>
      </c>
      <c r="F64" s="67" t="n">
        <f aca="false">-Payables!O25</f>
        <v>-77078.4947953826</v>
      </c>
      <c r="G64" s="67" t="n">
        <f aca="false">-Payables!P25</f>
        <v>-68096.4398450583</v>
      </c>
      <c r="H64" s="76" t="n">
        <f aca="false">(D64-$C64)*H$11+E64*H$12+F64*H$13+G64*H$14</f>
        <v>-10516.3784157895</v>
      </c>
      <c r="I64" s="76" t="n">
        <f aca="false">(D64-$C64)*I$11+E64*I$12+F64*I$13+G64*I$14</f>
        <v>-10516.3784157895</v>
      </c>
      <c r="J64" s="76" t="n">
        <f aca="false">(D64-$C64)*J$11+E64*J$12+F64*J$13+G64*J$14</f>
        <v>-10670.3336620985</v>
      </c>
      <c r="K64" s="76" t="n">
        <f aca="false">(D64-$C64)*K$11+E64*K$12+F64*K$13+G64*K$14</f>
        <v>-11055.221777871</v>
      </c>
      <c r="L64" s="76" t="n">
        <f aca="false">(D64-$C64)*L$11+E64*L$12+F64*L$13+G64*L$14</f>
        <v>-11055.221777871</v>
      </c>
      <c r="M64" s="76" t="n">
        <f aca="false">(D64-$C64)*M$11+E64*M$12+F64*M$13+G64*M$14</f>
        <v>-11055.221777871</v>
      </c>
      <c r="N64" s="76" t="n">
        <f aca="false">(D64-$C64)*N$11+E64*N$12+F64*N$13+G64*N$14</f>
        <v>-11055.221777871</v>
      </c>
      <c r="O64" s="76" t="n">
        <f aca="false">(D64-$C64)*O$11+E64*O$12+F64*O$13+G64*O$14</f>
        <v>-16995.0163559152</v>
      </c>
      <c r="P64" s="76" t="n">
        <f aca="false">(D64-$C64)*P$11+E64*P$12+F64*P$13+G64*P$14</f>
        <v>-17984.9821189226</v>
      </c>
      <c r="Q64" s="76" t="n">
        <f aca="false">(D64-$C64)*Q$11+E64*Q$12+F64*Q$13+G64*Q$14</f>
        <v>-17984.9821189226</v>
      </c>
      <c r="R64" s="76" t="n">
        <f aca="false">(D64-$C64)*R$11+E64*R$12+F64*R$13+G64*R$14</f>
        <v>-17984.9821189226</v>
      </c>
      <c r="S64" s="76" t="n">
        <f aca="false">(D64-$C64)*S$11+E64*S$12+F64*S$13+G64*S$14</f>
        <v>-16494.4868789006</v>
      </c>
      <c r="T64" s="76" t="n">
        <f aca="false">(D64-$C64)*T$11+E64*T$12+F64*T$13+G64*T$14</f>
        <v>-15376.6154488841</v>
      </c>
      <c r="U64" s="66" t="n">
        <f aca="false">SUM(H64:T64)</f>
        <v>-178745.042645629</v>
      </c>
      <c r="V64" s="116" t="n">
        <f aca="false">SUM(H$14:T$14)</f>
        <v>0.354838709677419</v>
      </c>
      <c r="W64" s="28" t="n">
        <f aca="false">G64*(1-V64)</f>
        <v>-43933.1869968118</v>
      </c>
    </row>
    <row r="65" customFormat="false" ht="15" hidden="false" customHeight="false" outlineLevel="0" collapsed="false">
      <c r="A65" s="27" t="s">
        <v>735</v>
      </c>
      <c r="B65" s="63" t="s">
        <v>736</v>
      </c>
      <c r="C65" s="28" t="n">
        <v>0</v>
      </c>
      <c r="D65" s="67" t="n">
        <f aca="false">-VAT!M13</f>
        <v>-87264.6245333781</v>
      </c>
      <c r="E65" s="67" t="n">
        <f aca="false">-VAT!N13</f>
        <v>-50238.050545006</v>
      </c>
      <c r="F65" s="67" t="n">
        <f aca="false">-VAT!O13</f>
        <v>-39917.4806528718</v>
      </c>
      <c r="G65" s="67" t="n">
        <f aca="false">-VAT!P13</f>
        <v>-43945.8343355311</v>
      </c>
      <c r="H65" s="76" t="n">
        <f aca="false">(D65-$C65)*H$27+E65*H$28+F65*H$29+G65*H$30</f>
        <v>-0</v>
      </c>
      <c r="I65" s="76" t="n">
        <f aca="false">(D65-$C65)*I$27+E65*I$28+F65*I$29+G65*I$30</f>
        <v>-87264.6245333781</v>
      </c>
      <c r="J65" s="76" t="n">
        <f aca="false">(D65-$C65)*J$27+E65*J$28+F65*J$29+G65*J$30</f>
        <v>-0</v>
      </c>
      <c r="K65" s="76" t="n">
        <f aca="false">(D65-$C65)*K$27+E65*K$28+F65*K$29+G65*K$30</f>
        <v>-0</v>
      </c>
      <c r="L65" s="76" t="n">
        <f aca="false">(D65-$C65)*L$27+E65*L$28+F65*L$29+G65*L$30</f>
        <v>-0</v>
      </c>
      <c r="M65" s="76" t="n">
        <f aca="false">(D65-$C65)*M$27+E65*M$28+F65*M$29+G65*M$30</f>
        <v>-0</v>
      </c>
      <c r="N65" s="76" t="n">
        <f aca="false">(D65-$C65)*N$27+E65*N$28+F65*N$29+G65*N$30</f>
        <v>-50238.050545006</v>
      </c>
      <c r="O65" s="76" t="n">
        <f aca="false">(D65-$C65)*O$27+E65*O$28+F65*O$29+G65*O$30</f>
        <v>-0</v>
      </c>
      <c r="P65" s="76" t="n">
        <f aca="false">(D65-$C65)*P$27+E65*P$28+F65*P$29+G65*P$30</f>
        <v>-0</v>
      </c>
      <c r="Q65" s="76" t="n">
        <f aca="false">(D65-$C65)*Q$27+E65*Q$28+F65*Q$29+G65*Q$30</f>
        <v>-0</v>
      </c>
      <c r="R65" s="76" t="n">
        <f aca="false">(D65-$C65)*R$27+E65*R$28+F65*R$29+G65*R$30</f>
        <v>-39917.4806528718</v>
      </c>
      <c r="S65" s="76" t="n">
        <f aca="false">(D65-$C65)*S$27+E65*S$28+F65*S$29+G65*S$30</f>
        <v>-0</v>
      </c>
      <c r="T65" s="76" t="n">
        <f aca="false">(D65-$C65)*T$27+E65*T$28+F65*T$29+G65*T$30</f>
        <v>-0</v>
      </c>
      <c r="U65" s="66" t="n">
        <f aca="false">SUM(H65:T65)</f>
        <v>-177420.155731256</v>
      </c>
      <c r="V65" s="116" t="n">
        <f aca="false">SUM(H$30:T$30)</f>
        <v>0</v>
      </c>
      <c r="W65" s="28" t="n">
        <f aca="false">G65*(1-V65)</f>
        <v>-43945.8343355311</v>
      </c>
    </row>
    <row r="66" customFormat="false" ht="15" hidden="false" customHeight="false" outlineLevel="0" collapsed="false">
      <c r="A66" s="27" t="s">
        <v>737</v>
      </c>
      <c r="B66" s="63" t="s">
        <v>738</v>
      </c>
      <c r="C66" s="28" t="n">
        <v>0</v>
      </c>
      <c r="D66" s="67" t="n">
        <f aca="false">-(Tax!M15+Tax!M16)</f>
        <v>-73084.5925</v>
      </c>
      <c r="E66" s="67" t="n">
        <f aca="false">-(Tax!N15+Tax!N16)</f>
        <v>-0</v>
      </c>
      <c r="F66" s="67" t="n">
        <f aca="false">-(Tax!O15+Tax!O16)</f>
        <v>-0</v>
      </c>
      <c r="G66" s="67" t="n">
        <f aca="false">-(Tax!P15+Tax!P16)</f>
        <v>-73084.5925</v>
      </c>
      <c r="H66" s="76" t="n">
        <f aca="false">(D66-$C66)*H$35+E66*H$36+F66*H$37+G66*H$38</f>
        <v>-0</v>
      </c>
      <c r="I66" s="76" t="n">
        <f aca="false">(D66-$C66)*I$35+E66*I$36+F66*I$37+G66*I$38</f>
        <v>-0</v>
      </c>
      <c r="J66" s="76" t="n">
        <f aca="false">(D66-$C66)*J$35+E66*J$36+F66*J$37+G66*J$38</f>
        <v>-73084.5925</v>
      </c>
      <c r="K66" s="76" t="n">
        <f aca="false">(D66-$C66)*K$35+E66*K$36+F66*K$37+G66*K$38</f>
        <v>-0</v>
      </c>
      <c r="L66" s="76" t="n">
        <f aca="false">(D66-$C66)*L$35+E66*L$36+F66*L$37+G66*L$38</f>
        <v>-0</v>
      </c>
      <c r="M66" s="76" t="n">
        <f aca="false">(D66-$C66)*M$35+E66*M$36+F66*M$37+G66*M$38</f>
        <v>-0</v>
      </c>
      <c r="N66" s="76" t="n">
        <f aca="false">(D66-$C66)*N$35+E66*N$36+F66*N$37+G66*N$38</f>
        <v>-0</v>
      </c>
      <c r="O66" s="76" t="n">
        <f aca="false">(D66-$C66)*O$35+E66*O$36+F66*O$37+G66*O$38</f>
        <v>-0</v>
      </c>
      <c r="P66" s="76" t="n">
        <f aca="false">(D66-$C66)*P$35+E66*P$36+F66*P$37+G66*P$38</f>
        <v>-0</v>
      </c>
      <c r="Q66" s="76" t="n">
        <f aca="false">(D66-$C66)*Q$35+E66*Q$36+F66*Q$37+G66*Q$38</f>
        <v>-0</v>
      </c>
      <c r="R66" s="76" t="n">
        <f aca="false">(D66-$C66)*R$35+E66*R$36+F66*R$37+G66*R$38</f>
        <v>-0</v>
      </c>
      <c r="S66" s="76" t="n">
        <f aca="false">(D66-$C66)*S$35+E66*S$36+F66*S$37+G66*S$38</f>
        <v>-0</v>
      </c>
      <c r="T66" s="76" t="n">
        <f aca="false">(D66-$C66)*T$35+E66*T$36+F66*T$37+G66*T$38</f>
        <v>-0</v>
      </c>
      <c r="U66" s="66" t="n">
        <f aca="false">SUM(H66:T66)</f>
        <v>-73084.5925</v>
      </c>
      <c r="V66" s="116" t="n">
        <f aca="false">SUM(H$38:T$38)</f>
        <v>0</v>
      </c>
      <c r="W66" s="28" t="n">
        <f aca="false">G66*(1-V66)</f>
        <v>-73084.5925</v>
      </c>
    </row>
    <row r="67" customFormat="false" ht="15" hidden="false" customHeight="false" outlineLevel="0" collapsed="false">
      <c r="A67" s="27" t="s">
        <v>739</v>
      </c>
      <c r="B67" s="63" t="s">
        <v>716</v>
      </c>
      <c r="C67" s="28" t="n">
        <v>0</v>
      </c>
      <c r="D67" s="67" t="n">
        <f aca="false">-(Financing!M10+Financing!M11)</f>
        <v>-37638.8856666667</v>
      </c>
      <c r="E67" s="67" t="n">
        <f aca="false">-(Financing!N10+Financing!N11)</f>
        <v>-37499.9967916667</v>
      </c>
      <c r="F67" s="67" t="n">
        <f aca="false">-(Financing!O10+Financing!O11)</f>
        <v>-37361.1079166667</v>
      </c>
      <c r="G67" s="67" t="n">
        <f aca="false">-(Financing!P10+Financing!P11)</f>
        <v>-37222.2190416667</v>
      </c>
      <c r="H67" s="76" t="n">
        <f aca="false">(D67-$C67)*H$15+E67*H$16+F67*H$17+G67*H$18</f>
        <v>-0</v>
      </c>
      <c r="I67" s="76" t="n">
        <f aca="false">(D67-$C67)*I$15+E67*I$16+F67*I$17+G67*I$18</f>
        <v>-0</v>
      </c>
      <c r="J67" s="76" t="n">
        <f aca="false">(D67-$C67)*J$15+E67*J$16+F67*J$17+G67*J$18</f>
        <v>-37638.8856666667</v>
      </c>
      <c r="K67" s="76" t="n">
        <f aca="false">(D67-$C67)*K$15+E67*K$16+F67*K$17+G67*K$18</f>
        <v>-0</v>
      </c>
      <c r="L67" s="76" t="n">
        <f aca="false">(D67-$C67)*L$15+E67*L$16+F67*L$17+G67*L$18</f>
        <v>-0</v>
      </c>
      <c r="M67" s="76" t="n">
        <f aca="false">(D67-$C67)*M$15+E67*M$16+F67*M$17+G67*M$18</f>
        <v>-0</v>
      </c>
      <c r="N67" s="76" t="n">
        <f aca="false">(D67-$C67)*N$15+E67*N$16+F67*N$17+G67*N$18</f>
        <v>-0</v>
      </c>
      <c r="O67" s="76" t="n">
        <f aca="false">(D67-$C67)*O$15+E67*O$16+F67*O$17+G67*O$18</f>
        <v>-37499.9967916667</v>
      </c>
      <c r="P67" s="76" t="n">
        <f aca="false">(D67-$C67)*P$15+E67*P$16+F67*P$17+G67*P$18</f>
        <v>-0</v>
      </c>
      <c r="Q67" s="76" t="n">
        <f aca="false">(D67-$C67)*Q$15+E67*Q$16+F67*Q$17+G67*Q$18</f>
        <v>-0</v>
      </c>
      <c r="R67" s="76" t="n">
        <f aca="false">(D67-$C67)*R$15+E67*R$16+F67*R$17+G67*R$18</f>
        <v>-0</v>
      </c>
      <c r="S67" s="76" t="n">
        <f aca="false">(D67-$C67)*S$15+E67*S$16+F67*S$17+G67*S$18</f>
        <v>-37361.1079166667</v>
      </c>
      <c r="T67" s="76" t="n">
        <f aca="false">(D67-$C67)*T$15+E67*T$16+F67*T$17+G67*T$18</f>
        <v>-0</v>
      </c>
      <c r="U67" s="66" t="n">
        <f aca="false">SUM(H67:T67)</f>
        <v>-112499.990375</v>
      </c>
      <c r="V67" s="116" t="n">
        <f aca="false">SUM(H$18:T$18)</f>
        <v>0</v>
      </c>
      <c r="W67" s="28" t="n">
        <f aca="false">G67*(1-V67)</f>
        <v>-37222.2190416667</v>
      </c>
    </row>
    <row r="68" customFormat="false" ht="15" hidden="false" customHeight="false" outlineLevel="0" collapsed="false">
      <c r="A68" s="80" t="s">
        <v>740</v>
      </c>
      <c r="B68" s="117" t="s">
        <v>718</v>
      </c>
      <c r="C68" s="118" t="n">
        <f aca="false">C54+C55+C56+C57+C58+C59+C60+C61+C62+C63+C64+C65+C66+C67</f>
        <v>-123696.519583333</v>
      </c>
      <c r="D68" s="119" t="n">
        <f aca="false">D54+D55+D56+D57+D58+D59+D60+D61+D62+D63+D64+D65+D66+D67</f>
        <v>-686247.70545634</v>
      </c>
      <c r="E68" s="119" t="n">
        <f aca="false">E54+E55+E56+E57+E58+E59+E60+E61+E62+E63+E64+E65+E66+E67</f>
        <v>-843113.893260618</v>
      </c>
      <c r="F68" s="119" t="n">
        <f aca="false">F54+F55+F56+F57+F58+F59+F60+F61+F62+F63+F64+F65+F66+F67</f>
        <v>-929282.219790012</v>
      </c>
      <c r="G68" s="119" t="n">
        <f aca="false">G54+G55+G56+G57+G58+G59+G60+G61+G62+G63+G64+G65+G66+G67</f>
        <v>-912807.959596241</v>
      </c>
      <c r="H68" s="61" t="n">
        <f aca="false">H54+H55+H56+H57+H58+H59+H60+H61+H62+H63+H64+H65+H66+H67</f>
        <v>-81914.698861504</v>
      </c>
      <c r="I68" s="61" t="n">
        <f aca="false">I54+I55+I56+I57+I58+I59+I60+I61+I62+I63+I64+I65+I66+I67</f>
        <v>-218963.62627022</v>
      </c>
      <c r="J68" s="61" t="n">
        <f aca="false">J54+J55+J56+J57+J58+J59+J60+J61+J62+J63+J64+J65+J66+J67</f>
        <v>-303722.242290499</v>
      </c>
      <c r="K68" s="61" t="n">
        <f aca="false">K54+K55+K56+K57+K58+K59+K60+K61+K62+K63+K64+K65+K66+K67</f>
        <v>-119610.335422256</v>
      </c>
      <c r="L68" s="61" t="n">
        <f aca="false">L54+L55+L56+L57+L58+L59+L60+L61+L62+L63+L64+L65+L66+L67</f>
        <v>-159382.280741816</v>
      </c>
      <c r="M68" s="61" t="n">
        <f aca="false">M54+M55+M56+M57+M58+M59+M60+M61+M62+M63+M64+M65+M66+M67</f>
        <v>-186765.783665623</v>
      </c>
      <c r="N68" s="61" t="n">
        <f aca="false">N54+N55+N56+N57+N58+N59+N60+N61+N62+N63+N64+N65+N66+N67</f>
        <v>-280718.924315432</v>
      </c>
      <c r="O68" s="61" t="n">
        <f aca="false">O54+O55+O56+O57+O58+O59+O60+O61+O62+O63+O64+O65+O66+O67</f>
        <v>-167565.941066687</v>
      </c>
      <c r="P68" s="61" t="n">
        <f aca="false">P54+P55+P56+P57+P58+P59+P60+P61+P62+P63+P64+P65+P66+P67</f>
        <v>-142011.511766632</v>
      </c>
      <c r="Q68" s="61" t="n">
        <f aca="false">Q54+Q55+Q56+Q57+Q58+Q59+Q60+Q61+Q62+Q63+Q64+Q65+Q66+Q67</f>
        <v>-211869.249878444</v>
      </c>
      <c r="R68" s="61" t="n">
        <f aca="false">R54+R55+R56+R57+R58+R59+R60+R61+R62+R63+R64+R65+R66+R67</f>
        <v>-162538.526403353</v>
      </c>
      <c r="S68" s="61" t="n">
        <f aca="false">S54+S55+S56+S57+S58+S59+S60+S61+S62+S63+S64+S65+S66+S67</f>
        <v>-366193.035823997</v>
      </c>
      <c r="T68" s="61" t="n">
        <f aca="false">T54+T55+T56+T57+T58+T59+T60+T61+T62+T63+T64+T65+T66+T67</f>
        <v>-121647.876542775</v>
      </c>
      <c r="U68" s="61" t="n">
        <f aca="false">SUM(H68:T68)</f>
        <v>-2522904.03304924</v>
      </c>
      <c r="V68" s="83"/>
      <c r="W68" s="83"/>
    </row>
    <row r="69" customFormat="false" ht="15" hidden="false" customHeight="false" outlineLevel="0" collapsed="false">
      <c r="A69" s="21" t="s">
        <v>530</v>
      </c>
      <c r="B69" s="22"/>
      <c r="C69" s="22"/>
      <c r="D69" s="22"/>
      <c r="E69" s="22"/>
      <c r="F69" s="22"/>
      <c r="G69" s="22"/>
      <c r="H69" s="22"/>
      <c r="I69" s="22"/>
      <c r="J69" s="22"/>
      <c r="K69" s="22"/>
      <c r="L69" s="22"/>
      <c r="M69" s="22"/>
      <c r="N69" s="22"/>
      <c r="O69" s="22"/>
      <c r="P69" s="22"/>
      <c r="Q69" s="22"/>
      <c r="R69" s="22"/>
      <c r="S69" s="22"/>
      <c r="T69" s="22"/>
      <c r="U69" s="22"/>
      <c r="V69" s="22"/>
      <c r="W69" s="22"/>
    </row>
    <row r="70" customFormat="false" ht="15" hidden="false" customHeight="false" outlineLevel="0" collapsed="false">
      <c r="A70" s="80" t="s">
        <v>741</v>
      </c>
      <c r="B70" s="117" t="s">
        <v>718</v>
      </c>
      <c r="C70" s="61" t="n">
        <f aca="false">C52+C68</f>
        <v>114673.480416667</v>
      </c>
      <c r="D70" s="119" t="n">
        <f aca="false">D52+D68</f>
        <v>-36149.6653511154</v>
      </c>
      <c r="E70" s="119" t="n">
        <f aca="false">E52+E68</f>
        <v>-58405.0243182168</v>
      </c>
      <c r="F70" s="119" t="n">
        <f aca="false">F52+F68</f>
        <v>-58475.1817163081</v>
      </c>
      <c r="G70" s="119" t="n">
        <f aca="false">G52+G68</f>
        <v>15202.5117078376</v>
      </c>
      <c r="H70" s="61" t="n">
        <f aca="false">H52+H68</f>
        <v>69774.5790719998</v>
      </c>
      <c r="I70" s="61" t="n">
        <f aca="false">I52+I68</f>
        <v>-67274.3483367164</v>
      </c>
      <c r="J70" s="61" t="n">
        <f aca="false">J52+J68</f>
        <v>-144746.379410836</v>
      </c>
      <c r="K70" s="61" t="n">
        <f aca="false">K52+K68</f>
        <v>57581.989822802</v>
      </c>
      <c r="L70" s="61" t="n">
        <f aca="false">L52+L68</f>
        <v>17810.0445032424</v>
      </c>
      <c r="M70" s="61" t="n">
        <f aca="false">M52+M68</f>
        <v>-9573.45842056468</v>
      </c>
      <c r="N70" s="61" t="n">
        <f aca="false">N52+N68</f>
        <v>-103526.599070373</v>
      </c>
      <c r="O70" s="61" t="n">
        <f aca="false">O52+O68</f>
        <v>28367.8560634066</v>
      </c>
      <c r="P70" s="61" t="n">
        <f aca="false">P52+P68</f>
        <v>57045.8640109669</v>
      </c>
      <c r="Q70" s="61" t="n">
        <f aca="false">Q52+Q68</f>
        <v>-12811.8741008447</v>
      </c>
      <c r="R70" s="61" t="n">
        <f aca="false">R52+R68</f>
        <v>36518.8493742467</v>
      </c>
      <c r="S70" s="61" t="n">
        <f aca="false">S52+S68</f>
        <v>-143435.44627258</v>
      </c>
      <c r="T70" s="61" t="n">
        <f aca="false">T52+T68</f>
        <v>87902.8750420165</v>
      </c>
      <c r="U70" s="61" t="n">
        <f aca="false">SUM(H70:T70)</f>
        <v>-126366.047723235</v>
      </c>
      <c r="V70" s="83"/>
      <c r="W70" s="83"/>
    </row>
    <row r="71" customFormat="false" ht="15" hidden="false" customHeight="false" outlineLevel="0" collapsed="false">
      <c r="A71" s="0" t="s">
        <v>532</v>
      </c>
      <c r="B71" s="63" t="s">
        <v>742</v>
      </c>
      <c r="C71" s="93" t="n">
        <f aca="false">INDEX(BS!$E$9:$AB$9,Assumptions!$C$10)+C70</f>
        <v>956726.363266665</v>
      </c>
      <c r="H71" s="28" t="n">
        <f aca="false">C71</f>
        <v>956726.363266665</v>
      </c>
      <c r="I71" s="28" t="n">
        <f aca="false">H72</f>
        <v>1026500.94233866</v>
      </c>
      <c r="J71" s="28" t="n">
        <f aca="false">I72</f>
        <v>959226.594001948</v>
      </c>
      <c r="K71" s="28" t="n">
        <f aca="false">J72</f>
        <v>814480.214591112</v>
      </c>
      <c r="L71" s="28" t="n">
        <f aca="false">K72</f>
        <v>872062.204413914</v>
      </c>
      <c r="M71" s="28" t="n">
        <f aca="false">L72</f>
        <v>889872.248917157</v>
      </c>
      <c r="N71" s="28" t="n">
        <f aca="false">M72</f>
        <v>880298.790496592</v>
      </c>
      <c r="O71" s="28" t="n">
        <f aca="false">N72</f>
        <v>776772.191426218</v>
      </c>
      <c r="P71" s="28" t="n">
        <f aca="false">O72</f>
        <v>805140.047489625</v>
      </c>
      <c r="Q71" s="28" t="n">
        <f aca="false">P72</f>
        <v>862185.911500592</v>
      </c>
      <c r="R71" s="28" t="n">
        <f aca="false">Q72</f>
        <v>849374.037399747</v>
      </c>
      <c r="S71" s="28" t="n">
        <f aca="false">R72</f>
        <v>885892.886773994</v>
      </c>
      <c r="T71" s="28" t="n">
        <f aca="false">S72</f>
        <v>742457.440501413</v>
      </c>
    </row>
    <row r="72" customFormat="false" ht="15" hidden="false" customHeight="false" outlineLevel="0" collapsed="false">
      <c r="A72" s="80" t="s">
        <v>743</v>
      </c>
      <c r="B72" s="83"/>
      <c r="C72" s="83"/>
      <c r="D72" s="83"/>
      <c r="E72" s="83"/>
      <c r="F72" s="83"/>
      <c r="G72" s="83"/>
      <c r="H72" s="61" t="n">
        <f aca="false">H71+H70</f>
        <v>1026500.94233866</v>
      </c>
      <c r="I72" s="61" t="n">
        <f aca="false">I71+I70</f>
        <v>959226.594001948</v>
      </c>
      <c r="J72" s="61" t="n">
        <f aca="false">J71+J70</f>
        <v>814480.214591112</v>
      </c>
      <c r="K72" s="61" t="n">
        <f aca="false">K71+K70</f>
        <v>872062.204413914</v>
      </c>
      <c r="L72" s="61" t="n">
        <f aca="false">L71+L70</f>
        <v>889872.248917157</v>
      </c>
      <c r="M72" s="61" t="n">
        <f aca="false">M71+M70</f>
        <v>880298.790496592</v>
      </c>
      <c r="N72" s="61" t="n">
        <f aca="false">N71+N70</f>
        <v>776772.191426218</v>
      </c>
      <c r="O72" s="61" t="n">
        <f aca="false">O71+O70</f>
        <v>805140.047489625</v>
      </c>
      <c r="P72" s="61" t="n">
        <f aca="false">P71+P70</f>
        <v>862185.911500592</v>
      </c>
      <c r="Q72" s="61" t="n">
        <f aca="false">Q71+Q70</f>
        <v>849374.037399747</v>
      </c>
      <c r="R72" s="61" t="n">
        <f aca="false">R71+R70</f>
        <v>885892.886773994</v>
      </c>
      <c r="S72" s="61" t="n">
        <f aca="false">S71+S70</f>
        <v>742457.440501413</v>
      </c>
      <c r="T72" s="61" t="n">
        <f aca="false">T71+T70</f>
        <v>830360.31554343</v>
      </c>
      <c r="U72" s="83"/>
      <c r="V72" s="83"/>
      <c r="W72" s="83"/>
    </row>
    <row r="74" customFormat="false" ht="15" hidden="false" customHeight="false" outlineLevel="0" collapsed="false">
      <c r="A74" s="21" t="s">
        <v>744</v>
      </c>
      <c r="B74" s="22"/>
      <c r="C74" s="22"/>
      <c r="D74" s="22"/>
      <c r="E74" s="22"/>
      <c r="F74" s="22"/>
      <c r="G74" s="22"/>
      <c r="H74" s="22"/>
      <c r="I74" s="22"/>
      <c r="J74" s="22"/>
      <c r="K74" s="22"/>
      <c r="L74" s="22"/>
      <c r="M74" s="22"/>
      <c r="N74" s="22"/>
      <c r="O74" s="22"/>
      <c r="P74" s="22"/>
      <c r="Q74" s="22"/>
      <c r="R74" s="22"/>
      <c r="S74" s="22"/>
      <c r="T74" s="22"/>
      <c r="U74" s="22"/>
      <c r="V74" s="22"/>
      <c r="W74" s="22"/>
    </row>
    <row r="75" customFormat="false" ht="15" hidden="false" customHeight="false" outlineLevel="0" collapsed="false">
      <c r="A75" s="0" t="s">
        <v>386</v>
      </c>
      <c r="H75" s="67" t="n">
        <f aca="false">Assumptions!$C$13</f>
        <v>400000</v>
      </c>
      <c r="I75" s="67" t="n">
        <f aca="false">Assumptions!$C$13</f>
        <v>400000</v>
      </c>
      <c r="J75" s="67" t="n">
        <f aca="false">Assumptions!$C$13</f>
        <v>400000</v>
      </c>
      <c r="K75" s="67" t="n">
        <f aca="false">Assumptions!$C$13</f>
        <v>400000</v>
      </c>
      <c r="L75" s="67" t="n">
        <f aca="false">Assumptions!$C$13</f>
        <v>400000</v>
      </c>
      <c r="M75" s="67" t="n">
        <f aca="false">Assumptions!$C$13</f>
        <v>400000</v>
      </c>
      <c r="N75" s="67" t="n">
        <f aca="false">Assumptions!$C$13</f>
        <v>400000</v>
      </c>
      <c r="O75" s="67" t="n">
        <f aca="false">Assumptions!$C$13</f>
        <v>400000</v>
      </c>
      <c r="P75" s="67" t="n">
        <f aca="false">Assumptions!$C$13</f>
        <v>400000</v>
      </c>
      <c r="Q75" s="67" t="n">
        <f aca="false">Assumptions!$C$13</f>
        <v>400000</v>
      </c>
      <c r="R75" s="67" t="n">
        <f aca="false">Assumptions!$C$13</f>
        <v>400000</v>
      </c>
      <c r="S75" s="67" t="n">
        <f aca="false">Assumptions!$C$13</f>
        <v>400000</v>
      </c>
      <c r="T75" s="67" t="n">
        <f aca="false">Assumptions!$C$13</f>
        <v>400000</v>
      </c>
    </row>
    <row r="76" customFormat="false" ht="15" hidden="false" customHeight="false" outlineLevel="0" collapsed="false">
      <c r="A76" s="5" t="s">
        <v>745</v>
      </c>
      <c r="H76" s="35" t="n">
        <f aca="false">H72-H75</f>
        <v>626500.942338665</v>
      </c>
      <c r="I76" s="35" t="n">
        <f aca="false">I72-I75</f>
        <v>559226.594001948</v>
      </c>
      <c r="J76" s="35" t="n">
        <f aca="false">J72-J75</f>
        <v>414480.214591112</v>
      </c>
      <c r="K76" s="35" t="n">
        <f aca="false">K72-K75</f>
        <v>472062.204413914</v>
      </c>
      <c r="L76" s="35" t="n">
        <f aca="false">L72-L75</f>
        <v>489872.248917157</v>
      </c>
      <c r="M76" s="35" t="n">
        <f aca="false">M72-M75</f>
        <v>480298.790496592</v>
      </c>
      <c r="N76" s="35" t="n">
        <f aca="false">N72-N75</f>
        <v>376772.191426218</v>
      </c>
      <c r="O76" s="35" t="n">
        <f aca="false">O72-O75</f>
        <v>405140.047489625</v>
      </c>
      <c r="P76" s="35" t="n">
        <f aca="false">P72-P75</f>
        <v>462185.911500592</v>
      </c>
      <c r="Q76" s="35" t="n">
        <f aca="false">Q72-Q75</f>
        <v>449374.037399747</v>
      </c>
      <c r="R76" s="35" t="n">
        <f aca="false">R72-R75</f>
        <v>485892.886773994</v>
      </c>
      <c r="S76" s="35" t="n">
        <f aca="false">S72-S75</f>
        <v>342457.440501413</v>
      </c>
      <c r="T76" s="35" t="n">
        <f aca="false">T72-T75</f>
        <v>430360.31554343</v>
      </c>
    </row>
    <row r="77" customFormat="false" ht="15" hidden="false" customHeight="false" outlineLevel="0" collapsed="false">
      <c r="A77" s="0" t="s">
        <v>155</v>
      </c>
      <c r="H77" s="30" t="str">
        <f aca="false">IF(H72&lt;0,"NEGATIVE",IF(H76&lt;0,"BELOW BUFFER","OK"))</f>
        <v>OK</v>
      </c>
      <c r="I77" s="30" t="str">
        <f aca="false">IF(I72&lt;0,"NEGATIVE",IF(I76&lt;0,"BELOW BUFFER","OK"))</f>
        <v>OK</v>
      </c>
      <c r="J77" s="30" t="str">
        <f aca="false">IF(J72&lt;0,"NEGATIVE",IF(J76&lt;0,"BELOW BUFFER","OK"))</f>
        <v>OK</v>
      </c>
      <c r="K77" s="30" t="str">
        <f aca="false">IF(K72&lt;0,"NEGATIVE",IF(K76&lt;0,"BELOW BUFFER","OK"))</f>
        <v>OK</v>
      </c>
      <c r="L77" s="30" t="str">
        <f aca="false">IF(L72&lt;0,"NEGATIVE",IF(L76&lt;0,"BELOW BUFFER","OK"))</f>
        <v>OK</v>
      </c>
      <c r="M77" s="30" t="str">
        <f aca="false">IF(M72&lt;0,"NEGATIVE",IF(M76&lt;0,"BELOW BUFFER","OK"))</f>
        <v>OK</v>
      </c>
      <c r="N77" s="30" t="str">
        <f aca="false">IF(N72&lt;0,"NEGATIVE",IF(N76&lt;0,"BELOW BUFFER","OK"))</f>
        <v>OK</v>
      </c>
      <c r="O77" s="30" t="str">
        <f aca="false">IF(O72&lt;0,"NEGATIVE",IF(O76&lt;0,"BELOW BUFFER","OK"))</f>
        <v>OK</v>
      </c>
      <c r="P77" s="30" t="str">
        <f aca="false">IF(P72&lt;0,"NEGATIVE",IF(P76&lt;0,"BELOW BUFFER","OK"))</f>
        <v>OK</v>
      </c>
      <c r="Q77" s="30" t="str">
        <f aca="false">IF(Q72&lt;0,"NEGATIVE",IF(Q76&lt;0,"BELOW BUFFER","OK"))</f>
        <v>OK</v>
      </c>
      <c r="R77" s="30" t="str">
        <f aca="false">IF(R72&lt;0,"NEGATIVE",IF(R76&lt;0,"BELOW BUFFER","OK"))</f>
        <v>OK</v>
      </c>
      <c r="S77" s="30" t="str">
        <f aca="false">IF(S72&lt;0,"NEGATIVE",IF(S76&lt;0,"BELOW BUFFER","OK"))</f>
        <v>OK</v>
      </c>
      <c r="T77" s="30" t="str">
        <f aca="false">IF(T72&lt;0,"NEGATIVE",IF(T76&lt;0,"BELOW BUFFER","OK"))</f>
        <v>OK</v>
      </c>
    </row>
    <row r="78" customFormat="false" ht="15" hidden="false" customHeight="false" outlineLevel="0" collapsed="false">
      <c r="A78" s="0" t="s">
        <v>746</v>
      </c>
      <c r="C78" s="35" t="n">
        <f aca="false">MIN(H72:T72)</f>
        <v>742457.440501413</v>
      </c>
    </row>
    <row r="79" customFormat="false" ht="15" hidden="false" customHeight="false" outlineLevel="0" collapsed="false">
      <c r="A79" s="0" t="s">
        <v>747</v>
      </c>
      <c r="C79" s="120" t="n">
        <f aca="false">INDEX(H$6:T$6,MATCH(MIN(H72:T72),H72:T72,0))</f>
        <v>46360</v>
      </c>
    </row>
    <row r="80" customFormat="false" ht="15" hidden="false" customHeight="false" outlineLevel="0" collapsed="false">
      <c r="A80" s="0" t="s">
        <v>748</v>
      </c>
      <c r="C80" s="35" t="n">
        <f aca="false">MIN(H76:T76)</f>
        <v>342457.440501413</v>
      </c>
    </row>
    <row r="81" customFormat="false" ht="15" hidden="false" customHeight="false" outlineLevel="0" collapsed="false">
      <c r="A81" s="0" t="s">
        <v>749</v>
      </c>
      <c r="C81" s="35" t="n">
        <f aca="false">Assumptions!$C$14</f>
        <v>300000</v>
      </c>
    </row>
    <row r="82" customFormat="false" ht="15" hidden="false" customHeight="false" outlineLevel="0" collapsed="false">
      <c r="A82" s="0" t="s">
        <v>750</v>
      </c>
      <c r="C82" s="35" t="n">
        <f aca="false">Assumptions!$C$14+MIN(0,MIN(H76:T76))</f>
        <v>300000</v>
      </c>
    </row>
    <row r="83" customFormat="false" ht="15" hidden="false" customHeight="false" outlineLevel="0" collapsed="false">
      <c r="A83" s="0" t="s">
        <v>751</v>
      </c>
      <c r="C83" s="35" t="n">
        <f aca="false">-(SUM(H55:T55)+SUM(H56:T56)+SUM(H57:T57)+SUM(H65:T65)+SUM(H66:T66))</f>
        <v>456729.959719648</v>
      </c>
    </row>
    <row r="85" customFormat="false" ht="15" hidden="false" customHeight="false" outlineLevel="0" collapsed="false">
      <c r="A85" s="21" t="s">
        <v>752</v>
      </c>
      <c r="B85" s="22"/>
      <c r="C85" s="22"/>
      <c r="D85" s="22"/>
      <c r="E85" s="22"/>
      <c r="F85" s="22"/>
      <c r="G85" s="22"/>
      <c r="H85" s="22"/>
      <c r="I85" s="22"/>
      <c r="J85" s="22"/>
      <c r="K85" s="22"/>
      <c r="L85" s="22"/>
      <c r="M85" s="22"/>
      <c r="N85" s="22"/>
      <c r="O85" s="22"/>
      <c r="P85" s="22"/>
      <c r="Q85" s="22"/>
      <c r="R85" s="22"/>
      <c r="S85" s="22"/>
      <c r="T85" s="22"/>
      <c r="U85" s="22"/>
      <c r="V85" s="22"/>
      <c r="W85" s="22"/>
    </row>
    <row r="86" customFormat="false" ht="15" hidden="false" customHeight="false" outlineLevel="0" collapsed="false">
      <c r="A86" s="90" t="s">
        <v>753</v>
      </c>
      <c r="C86" s="76" t="n">
        <f aca="false">T72</f>
        <v>830360.31554343</v>
      </c>
    </row>
    <row r="87" customFormat="false" ht="15" hidden="false" customHeight="false" outlineLevel="0" collapsed="false">
      <c r="A87" s="90" t="s">
        <v>754</v>
      </c>
      <c r="C87" s="76" t="n">
        <f aca="false">SUM(W49:W67)</f>
        <v>-126134.792371234</v>
      </c>
    </row>
    <row r="88" customFormat="false" ht="15" hidden="false" customHeight="false" outlineLevel="0" collapsed="false">
      <c r="A88" s="5" t="s">
        <v>755</v>
      </c>
      <c r="C88" s="35" t="n">
        <f aca="false">C86+C87</f>
        <v>704225.523172196</v>
      </c>
    </row>
    <row r="89" customFormat="false" ht="15" hidden="false" customHeight="false" outlineLevel="0" collapsed="false">
      <c r="A89" s="90" t="s">
        <v>756</v>
      </c>
      <c r="C89" s="76" t="n">
        <f aca="false">BS!P9</f>
        <v>704225.523172196</v>
      </c>
    </row>
    <row r="90" customFormat="false" ht="15" hidden="false" customHeight="false" outlineLevel="0" collapsed="false">
      <c r="A90" s="5" t="s">
        <v>757</v>
      </c>
      <c r="C90" s="35" t="n">
        <f aca="false">ROUND(C88-C89,0)</f>
        <v>0</v>
      </c>
    </row>
    <row r="92" customFormat="false" ht="15" hidden="false" customHeight="false" outlineLevel="0" collapsed="false">
      <c r="A92" s="21" t="s">
        <v>758</v>
      </c>
      <c r="B92" s="22"/>
      <c r="C92" s="22"/>
      <c r="D92" s="22"/>
      <c r="E92" s="22"/>
      <c r="F92" s="22"/>
      <c r="G92" s="22"/>
      <c r="H92" s="22"/>
      <c r="I92" s="22"/>
      <c r="J92" s="22"/>
      <c r="K92" s="22"/>
      <c r="L92" s="22"/>
      <c r="M92" s="22"/>
      <c r="N92" s="22"/>
      <c r="O92" s="22"/>
      <c r="P92" s="22"/>
      <c r="Q92" s="22"/>
      <c r="R92" s="22"/>
      <c r="S92" s="22"/>
      <c r="T92" s="22"/>
      <c r="U92" s="22"/>
      <c r="V92" s="22"/>
      <c r="W92" s="22"/>
    </row>
    <row r="93" customFormat="false" ht="15" hidden="false" customHeight="false" outlineLevel="0" collapsed="false">
      <c r="A93" s="12" t="str">
        <f aca="false">"1. Limit the 15 December IRC payment on account (CIRC art. 107): the July and September payments (EUR "&amp;TEXT((Tax!K15+Tax!M15)/1000,"#,##0")&amp;"k) already exceed the FY2026 IRC now expected (EUR "&amp;TEXT(Tax!$C$11/1000,"#,##0")&amp;"k), so up to EUR "&amp;TEXT(Assumptions!$C$28*Assumptions!$C$27/3000,"#,##0")&amp;"k can stay in the bank."</f>
        <v>1. Limit the 15 December IRC payment on account (CIRC art. 107): the July and September payments (EUR 146k) already exceed the FY2026 IRC now expected (EUR 129k), so up to EUR 73k can stay in the bank.</v>
      </c>
    </row>
    <row r="94" customFormat="false" ht="15" hidden="false" customHeight="false" outlineLevel="0" collapsed="false">
      <c r="A94" s="12" t="str">
        <f aca="false">"2. Collect the disputed J11 milestone (EUR "&amp;TEXT(Assumptions!$C$142/1000,"#,##0.0")&amp;"k) once the performance acceptance test is signed off."</f>
        <v>2. Collect the disputed J11 milestone (EUR 21.6k) once the performance acceptance test is signed off.</v>
      </c>
    </row>
    <row r="95" customFormat="false" ht="15" hidden="false" customHeight="false" outlineLevel="0" collapsed="false">
      <c r="A95" s="12" t="str">
        <f aca="false">"3. Draw the committed credit line (EUR "&amp;TEXT(Assumptions!$C$14/1000,"#,##0")&amp;"k) only across the November payroll with the Christmas allowance, repaid from December receipts."</f>
        <v>3. Draw the committed credit line (EUR 300k) only across the November payroll with the Christmas allowance, repaid from December receipts.</v>
      </c>
    </row>
    <row r="96" customFormat="false" ht="15" hidden="false" customHeight="false" outlineLevel="0" collapsed="false">
      <c r="A96" s="12" t="str">
        <f aca="false">"4. Invoice the January annual licence renewals in the first week of December on 30-day terms, so the cash arrives before the distributor is paid."</f>
        <v>4. Invoice the January annual licence renewals in the first week of December on 30-day terms, so the cash arrives before the distributor is paid.</v>
      </c>
    </row>
    <row r="97" customFormat="false" ht="15" hidden="false" customHeight="false" outlineLevel="0" collapsed="false">
      <c r="A97" s="12" t="str">
        <f aca="false">"5. Hold the hires planned for the first quarter of 2027 by one month if the low point falls below the buffer; keep the October service desk hires, which stop the SLA credits."</f>
        <v>5. Hold the hires planned for the first quarter of 2027 by one month if the low point falls below the buffer; keep the October service desk hires, which stop the SLA credits.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759</v>
      </c>
    </row>
    <row r="3" customFormat="false" ht="15" hidden="false" customHeight="false" outlineLevel="0" collapsed="false">
      <c r="A3" s="50" t="s">
        <v>760</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761</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401</v>
      </c>
      <c r="B9" s="63" t="s">
        <v>46</v>
      </c>
      <c r="C9" s="66" t="n">
        <f aca="false">SUM(E9:P9)</f>
        <v>2813869.84065143</v>
      </c>
      <c r="D9" s="66" t="n">
        <f aca="false">SUM(Q9:AB9)</f>
        <v>3173530.45760189</v>
      </c>
      <c r="E9" s="67" t="n">
        <f aca="false">Contracts!E163</f>
        <v>222281.28</v>
      </c>
      <c r="F9" s="67" t="n">
        <f aca="false">Contracts!F163</f>
        <v>223268.81</v>
      </c>
      <c r="G9" s="67" t="n">
        <f aca="false">Contracts!G163</f>
        <v>229851.35</v>
      </c>
      <c r="H9" s="67" t="n">
        <f aca="false">Contracts!H163</f>
        <v>231117.86</v>
      </c>
      <c r="I9" s="67" t="n">
        <f aca="false">Contracts!I163</f>
        <v>227787.83</v>
      </c>
      <c r="J9" s="67" t="n">
        <f aca="false">Contracts!J163</f>
        <v>228319.33</v>
      </c>
      <c r="K9" s="67" t="n">
        <f aca="false">Contracts!K163</f>
        <v>235394.64</v>
      </c>
      <c r="L9" s="67" t="n">
        <f aca="false">Contracts!L163</f>
        <v>236994.81</v>
      </c>
      <c r="M9" s="67" t="n">
        <f aca="false">Contracts!M163</f>
        <v>237538.702911441</v>
      </c>
      <c r="N9" s="67" t="n">
        <f aca="false">Contracts!N163</f>
        <v>237376.56952541</v>
      </c>
      <c r="O9" s="67" t="n">
        <f aca="false">Contracts!O163</f>
        <v>252008.421106854</v>
      </c>
      <c r="P9" s="67" t="n">
        <f aca="false">Contracts!P163</f>
        <v>251930.237107725</v>
      </c>
      <c r="Q9" s="67" t="n">
        <f aca="false">Contracts!Q163</f>
        <v>256413.069010518</v>
      </c>
      <c r="R9" s="67" t="n">
        <f aca="false">Contracts!R163</f>
        <v>260935.566579744</v>
      </c>
      <c r="S9" s="67" t="n">
        <f aca="false">Contracts!S163</f>
        <v>260253.718083795</v>
      </c>
      <c r="T9" s="67" t="n">
        <f aca="false">Contracts!T163</f>
        <v>263462.681196961</v>
      </c>
      <c r="U9" s="67" t="n">
        <f aca="false">Contracts!U163</f>
        <v>264109.049028551</v>
      </c>
      <c r="V9" s="67" t="n">
        <f aca="false">Contracts!V163</f>
        <v>264741.599418759</v>
      </c>
      <c r="W9" s="67" t="n">
        <f aca="false">Contracts!W163</f>
        <v>265700.271649055</v>
      </c>
      <c r="X9" s="67" t="n">
        <f aca="false">Contracts!X163</f>
        <v>265901.386974345</v>
      </c>
      <c r="Y9" s="67" t="n">
        <f aca="false">Contracts!Y163</f>
        <v>266521.325629425</v>
      </c>
      <c r="Z9" s="67" t="n">
        <f aca="false">Contracts!Z163</f>
        <v>267612.696822613</v>
      </c>
      <c r="AA9" s="67" t="n">
        <f aca="false">Contracts!AA163</f>
        <v>268586.599248214</v>
      </c>
      <c r="AB9" s="67" t="n">
        <f aca="false">Contracts!AB163</f>
        <v>269292.493959905</v>
      </c>
    </row>
    <row r="10" customFormat="false" ht="15" hidden="false" customHeight="false" outlineLevel="0" collapsed="false">
      <c r="A10" s="27" t="s">
        <v>402</v>
      </c>
      <c r="B10" s="63" t="s">
        <v>49</v>
      </c>
      <c r="C10" s="66" t="n">
        <f aca="false">SUM(E10:P10)</f>
        <v>-56251.0392045859</v>
      </c>
      <c r="D10" s="66" t="n">
        <f aca="false">SUM(Q10:AB10)</f>
        <v>-4196.20014891111</v>
      </c>
      <c r="E10" s="67" t="n">
        <f aca="false">-Service_Desk!E28</f>
        <v>-0</v>
      </c>
      <c r="F10" s="67" t="n">
        <f aca="false">-Service_Desk!F28</f>
        <v>-0</v>
      </c>
      <c r="G10" s="67" t="n">
        <f aca="false">-Service_Desk!G28</f>
        <v>-3235.73</v>
      </c>
      <c r="H10" s="67" t="n">
        <f aca="false">-Service_Desk!H28</f>
        <v>-4841.71</v>
      </c>
      <c r="I10" s="67" t="n">
        <f aca="false">-Service_Desk!I28</f>
        <v>-5441.04</v>
      </c>
      <c r="J10" s="67" t="n">
        <f aca="false">-Service_Desk!J28</f>
        <v>-3820.12</v>
      </c>
      <c r="K10" s="67" t="n">
        <f aca="false">-Service_Desk!K28</f>
        <v>-11314.01</v>
      </c>
      <c r="L10" s="67" t="n">
        <f aca="false">-Service_Desk!L28</f>
        <v>-9000.4</v>
      </c>
      <c r="M10" s="67" t="n">
        <f aca="false">-Service_Desk!M28</f>
        <v>-8319.27087221023</v>
      </c>
      <c r="N10" s="67" t="n">
        <f aca="false">-Service_Desk!N28</f>
        <v>-645.366755552625</v>
      </c>
      <c r="O10" s="67" t="n">
        <f aca="false">-Service_Desk!O28</f>
        <v>-9176.748081027</v>
      </c>
      <c r="P10" s="67" t="n">
        <f aca="false">-Service_Desk!P28</f>
        <v>-456.643495796042</v>
      </c>
      <c r="Q10" s="67" t="n">
        <f aca="false">-Service_Desk!Q28</f>
        <v>-1068.31825609855</v>
      </c>
      <c r="R10" s="67" t="n">
        <f aca="false">-Service_Desk!R28</f>
        <v>-1719.16870446923</v>
      </c>
      <c r="S10" s="67" t="n">
        <f aca="false">-Service_Desk!S28</f>
        <v>-0</v>
      </c>
      <c r="T10" s="67" t="n">
        <f aca="false">-Service_Desk!T28</f>
        <v>-0</v>
      </c>
      <c r="U10" s="67" t="n">
        <f aca="false">-Service_Desk!U28</f>
        <v>-0</v>
      </c>
      <c r="V10" s="67" t="n">
        <f aca="false">-Service_Desk!V28</f>
        <v>-0</v>
      </c>
      <c r="W10" s="67" t="n">
        <f aca="false">-Service_Desk!W28</f>
        <v>-0</v>
      </c>
      <c r="X10" s="67" t="n">
        <f aca="false">-Service_Desk!X28</f>
        <v>-1408.71318834332</v>
      </c>
      <c r="Y10" s="67" t="n">
        <f aca="false">-Service_Desk!Y28</f>
        <v>-0</v>
      </c>
      <c r="Z10" s="67" t="n">
        <f aca="false">-Service_Desk!Z28</f>
        <v>-0</v>
      </c>
      <c r="AA10" s="67" t="n">
        <f aca="false">-Service_Desk!AA28</f>
        <v>-0</v>
      </c>
      <c r="AB10" s="67" t="n">
        <f aca="false">-Service_Desk!AB28</f>
        <v>-0</v>
      </c>
    </row>
    <row r="11" customFormat="false" ht="15" hidden="false" customHeight="false" outlineLevel="0" collapsed="false">
      <c r="A11" s="27" t="s">
        <v>403</v>
      </c>
      <c r="B11" s="63" t="s">
        <v>46</v>
      </c>
      <c r="C11" s="66" t="n">
        <f aca="false">SUM(E11:P11)</f>
        <v>6655</v>
      </c>
      <c r="D11" s="66" t="n">
        <f aca="false">SUM(Q11:AB11)</f>
        <v>13511.25</v>
      </c>
      <c r="E11" s="67" t="n">
        <f aca="false">Contracts!E180</f>
        <v>293.75</v>
      </c>
      <c r="F11" s="67" t="n">
        <f aca="false">Contracts!F180</f>
        <v>293.75</v>
      </c>
      <c r="G11" s="67" t="n">
        <f aca="false">Contracts!G180</f>
        <v>393.75</v>
      </c>
      <c r="H11" s="67" t="n">
        <f aca="false">Contracts!H180</f>
        <v>393.75</v>
      </c>
      <c r="I11" s="67" t="n">
        <f aca="false">Contracts!I180</f>
        <v>476.25</v>
      </c>
      <c r="J11" s="67" t="n">
        <f aca="false">Contracts!J180</f>
        <v>476.25</v>
      </c>
      <c r="K11" s="67" t="n">
        <f aca="false">Contracts!K180</f>
        <v>611.25</v>
      </c>
      <c r="L11" s="67" t="n">
        <f aca="false">Contracts!L180</f>
        <v>611.25</v>
      </c>
      <c r="M11" s="67" t="n">
        <f aca="false">Contracts!M180</f>
        <v>611.25</v>
      </c>
      <c r="N11" s="67" t="n">
        <f aca="false">Contracts!N180</f>
        <v>611.25</v>
      </c>
      <c r="O11" s="67" t="n">
        <f aca="false">Contracts!O180</f>
        <v>941.25</v>
      </c>
      <c r="P11" s="67" t="n">
        <f aca="false">Contracts!P180</f>
        <v>941.25</v>
      </c>
      <c r="Q11" s="67" t="n">
        <f aca="false">Contracts!Q180</f>
        <v>1016.25</v>
      </c>
      <c r="R11" s="67" t="n">
        <f aca="false">Contracts!R180</f>
        <v>1095</v>
      </c>
      <c r="S11" s="67" t="n">
        <f aca="false">Contracts!S180</f>
        <v>1095</v>
      </c>
      <c r="T11" s="67" t="n">
        <f aca="false">Contracts!T180</f>
        <v>1145</v>
      </c>
      <c r="U11" s="67" t="n">
        <f aca="false">Contracts!U180</f>
        <v>1145</v>
      </c>
      <c r="V11" s="67" t="n">
        <f aca="false">Contracts!V180</f>
        <v>1145</v>
      </c>
      <c r="W11" s="67" t="n">
        <f aca="false">Contracts!W180</f>
        <v>1145</v>
      </c>
      <c r="X11" s="67" t="n">
        <f aca="false">Contracts!X180</f>
        <v>1145</v>
      </c>
      <c r="Y11" s="67" t="n">
        <f aca="false">Contracts!Y180</f>
        <v>1145</v>
      </c>
      <c r="Z11" s="67" t="n">
        <f aca="false">Contracts!Z180</f>
        <v>1145</v>
      </c>
      <c r="AA11" s="67" t="n">
        <f aca="false">Contracts!AA180</f>
        <v>1145</v>
      </c>
      <c r="AB11" s="67" t="n">
        <f aca="false">Contracts!AB180</f>
        <v>1145</v>
      </c>
    </row>
    <row r="12" customFormat="false" ht="15" hidden="false" customHeight="false" outlineLevel="0" collapsed="false">
      <c r="A12" s="27" t="s">
        <v>404</v>
      </c>
      <c r="B12" s="63" t="s">
        <v>55</v>
      </c>
      <c r="C12" s="66" t="n">
        <f aca="false">SUM(E12:P12)</f>
        <v>822656.618564107</v>
      </c>
      <c r="D12" s="66" t="n">
        <f aca="false">SUM(Q12:AB12)</f>
        <v>935306.327999216</v>
      </c>
      <c r="E12" s="67" t="n">
        <f aca="false">Licences!E9</f>
        <v>65799.8</v>
      </c>
      <c r="F12" s="67" t="n">
        <f aca="false">Licences!F9</f>
        <v>66325.23</v>
      </c>
      <c r="G12" s="67" t="n">
        <f aca="false">Licences!G9</f>
        <v>67699.56</v>
      </c>
      <c r="H12" s="67" t="n">
        <f aca="false">Licences!H9</f>
        <v>67751.59</v>
      </c>
      <c r="I12" s="67" t="n">
        <f aca="false">Licences!I9</f>
        <v>66519.66</v>
      </c>
      <c r="J12" s="67" t="n">
        <f aca="false">Licences!J9</f>
        <v>66724.48</v>
      </c>
      <c r="K12" s="67" t="n">
        <f aca="false">Licences!K9</f>
        <v>68703.74</v>
      </c>
      <c r="L12" s="67" t="n">
        <f aca="false">Licences!L9</f>
        <v>68767.83</v>
      </c>
      <c r="M12" s="67" t="n">
        <f aca="false">Licences!M9</f>
        <v>69001.588575</v>
      </c>
      <c r="N12" s="67" t="n">
        <f aca="false">Licences!N9</f>
        <v>68717.428153615</v>
      </c>
      <c r="O12" s="67" t="n">
        <f aca="false">Licences!O9</f>
        <v>73337.6334730909</v>
      </c>
      <c r="P12" s="67" t="n">
        <f aca="false">Licences!P9</f>
        <v>73308.0783624015</v>
      </c>
      <c r="Q12" s="67" t="n">
        <f aca="false">Licences!Q9</f>
        <v>76597.0091167134</v>
      </c>
      <c r="R12" s="67" t="n">
        <f aca="false">Licences!R9</f>
        <v>77793.7839561549</v>
      </c>
      <c r="S12" s="67" t="n">
        <f aca="false">Licences!S9</f>
        <v>77201.2995466204</v>
      </c>
      <c r="T12" s="67" t="n">
        <f aca="false">Licences!T9</f>
        <v>77916.63861467</v>
      </c>
      <c r="U12" s="67" t="n">
        <f aca="false">Licences!U9</f>
        <v>78011.8873487942</v>
      </c>
      <c r="V12" s="67" t="n">
        <f aca="false">Licences!V9</f>
        <v>78193.659581152</v>
      </c>
      <c r="W12" s="67" t="n">
        <f aca="false">Licences!W9</f>
        <v>78304.0055613229</v>
      </c>
      <c r="X12" s="67" t="n">
        <f aca="false">Licences!X9</f>
        <v>77970.5265964455</v>
      </c>
      <c r="Y12" s="67" t="n">
        <f aca="false">Licences!Y9</f>
        <v>78152.3798286132</v>
      </c>
      <c r="Z12" s="67" t="n">
        <f aca="false">Licences!Z9</f>
        <v>78278.4326559107</v>
      </c>
      <c r="AA12" s="67" t="n">
        <f aca="false">Licences!AA9</f>
        <v>78351.904466104</v>
      </c>
      <c r="AB12" s="67" t="n">
        <f aca="false">Licences!AB9</f>
        <v>78534.8007267144</v>
      </c>
    </row>
    <row r="13" customFormat="false" ht="15" hidden="false" customHeight="false" outlineLevel="0" collapsed="false">
      <c r="A13" s="27" t="s">
        <v>405</v>
      </c>
      <c r="B13" s="63" t="s">
        <v>55</v>
      </c>
      <c r="C13" s="66" t="n">
        <f aca="false">SUM(E13:P13)</f>
        <v>408415</v>
      </c>
      <c r="D13" s="66" t="n">
        <f aca="false">SUM(Q13:AB13)</f>
        <v>425496.6</v>
      </c>
      <c r="E13" s="67" t="n">
        <f aca="false">Licences!E13</f>
        <v>33625</v>
      </c>
      <c r="F13" s="67" t="n">
        <f aca="false">Licences!F13</f>
        <v>33716.6666666667</v>
      </c>
      <c r="G13" s="67" t="n">
        <f aca="false">Licences!G13</f>
        <v>33816.6666666667</v>
      </c>
      <c r="H13" s="67" t="n">
        <f aca="false">Licences!H13</f>
        <v>33891.6666666667</v>
      </c>
      <c r="I13" s="67" t="n">
        <f aca="false">Licences!I13</f>
        <v>33941.6666666667</v>
      </c>
      <c r="J13" s="67" t="n">
        <f aca="false">Licences!J13</f>
        <v>34050</v>
      </c>
      <c r="K13" s="67" t="n">
        <f aca="false">Licences!K13</f>
        <v>34100</v>
      </c>
      <c r="L13" s="67" t="n">
        <f aca="false">Licences!L13</f>
        <v>34133.3333333333</v>
      </c>
      <c r="M13" s="67" t="n">
        <f aca="false">Licences!M13</f>
        <v>34206.6666666667</v>
      </c>
      <c r="N13" s="67" t="n">
        <f aca="false">Licences!N13</f>
        <v>34256.6666666667</v>
      </c>
      <c r="O13" s="67" t="n">
        <f aca="false">Licences!O13</f>
        <v>34296.6666666667</v>
      </c>
      <c r="P13" s="67" t="n">
        <f aca="false">Licences!P13</f>
        <v>34380</v>
      </c>
      <c r="Q13" s="67" t="n">
        <f aca="false">Licences!Q13</f>
        <v>35191.6666666667</v>
      </c>
      <c r="R13" s="67" t="n">
        <f aca="false">Licences!R13</f>
        <v>35235.3333333333</v>
      </c>
      <c r="S13" s="67" t="n">
        <f aca="false">Licences!S13</f>
        <v>35299.3333333333</v>
      </c>
      <c r="T13" s="67" t="n">
        <f aca="false">Licences!T13</f>
        <v>35349</v>
      </c>
      <c r="U13" s="67" t="n">
        <f aca="false">Licences!U13</f>
        <v>35381</v>
      </c>
      <c r="V13" s="67" t="n">
        <f aca="false">Licences!V13</f>
        <v>35438.6666666667</v>
      </c>
      <c r="W13" s="67" t="n">
        <f aca="false">Licences!W13</f>
        <v>35477.3333333333</v>
      </c>
      <c r="X13" s="67" t="n">
        <f aca="false">Licences!X13</f>
        <v>35498.6666666667</v>
      </c>
      <c r="Y13" s="67" t="n">
        <f aca="false">Licences!Y13</f>
        <v>35574.9333333333</v>
      </c>
      <c r="Z13" s="67" t="n">
        <f aca="false">Licences!Z13</f>
        <v>35626.9333333333</v>
      </c>
      <c r="AA13" s="67" t="n">
        <f aca="false">Licences!AA13</f>
        <v>35668.5333333333</v>
      </c>
      <c r="AB13" s="67" t="n">
        <f aca="false">Licences!AB13</f>
        <v>35755.2</v>
      </c>
    </row>
    <row r="14" customFormat="false" ht="15" hidden="false" customHeight="false" outlineLevel="0" collapsed="false">
      <c r="A14" s="27" t="s">
        <v>406</v>
      </c>
      <c r="B14" s="63" t="s">
        <v>55</v>
      </c>
      <c r="C14" s="66" t="n">
        <f aca="false">SUM(E14:P14)</f>
        <v>100390.79875</v>
      </c>
      <c r="D14" s="66" t="n">
        <f aca="false">SUM(Q14:AB14)</f>
        <v>96990.06</v>
      </c>
      <c r="E14" s="67" t="n">
        <f aca="false">Licences!E26</f>
        <v>6935.95</v>
      </c>
      <c r="F14" s="67" t="n">
        <f aca="false">Licences!F26</f>
        <v>7643.7</v>
      </c>
      <c r="G14" s="67" t="n">
        <f aca="false">Licences!G26</f>
        <v>9342.3</v>
      </c>
      <c r="H14" s="67" t="n">
        <f aca="false">Licences!H26</f>
        <v>8068.35</v>
      </c>
      <c r="I14" s="67" t="n">
        <f aca="false">Licences!I26</f>
        <v>8209.9</v>
      </c>
      <c r="J14" s="67" t="n">
        <f aca="false">Licences!J26</f>
        <v>8634.55</v>
      </c>
      <c r="K14" s="67" t="n">
        <f aca="false">Licences!K26</f>
        <v>7785.25</v>
      </c>
      <c r="L14" s="67" t="n">
        <f aca="false">Licences!L26</f>
        <v>5378.9</v>
      </c>
      <c r="M14" s="67" t="n">
        <f aca="false">Licences!M26</f>
        <v>8648.28035</v>
      </c>
      <c r="N14" s="67" t="n">
        <f aca="false">Licences!N26</f>
        <v>9214.0557</v>
      </c>
      <c r="O14" s="67" t="n">
        <f aca="false">Licences!O26</f>
        <v>9860.6561</v>
      </c>
      <c r="P14" s="67" t="n">
        <f aca="false">Licences!P26</f>
        <v>10668.9066</v>
      </c>
      <c r="Q14" s="67" t="n">
        <f aca="false">Licences!Q26</f>
        <v>6627.6541</v>
      </c>
      <c r="R14" s="67" t="n">
        <f aca="false">Licences!R26</f>
        <v>7112.6044</v>
      </c>
      <c r="S14" s="67" t="n">
        <f aca="false">Licences!S26</f>
        <v>8729.1054</v>
      </c>
      <c r="T14" s="67" t="n">
        <f aca="false">Licences!T26</f>
        <v>7516.72965</v>
      </c>
      <c r="U14" s="67" t="n">
        <f aca="false">Licences!U26</f>
        <v>7759.2048</v>
      </c>
      <c r="V14" s="67" t="n">
        <f aca="false">Licences!V26</f>
        <v>8244.1551</v>
      </c>
      <c r="W14" s="67" t="n">
        <f aca="false">Licences!W26</f>
        <v>7435.9046</v>
      </c>
      <c r="X14" s="67" t="n">
        <f aca="false">Licences!X26</f>
        <v>5172.8032</v>
      </c>
      <c r="Y14" s="67" t="n">
        <f aca="false">Licences!Y26</f>
        <v>8648.28035</v>
      </c>
      <c r="Z14" s="67" t="n">
        <f aca="false">Licences!Z26</f>
        <v>9214.0557</v>
      </c>
      <c r="AA14" s="67" t="n">
        <f aca="false">Licences!AA26</f>
        <v>9860.6561</v>
      </c>
      <c r="AB14" s="67" t="n">
        <f aca="false">Licences!AB26</f>
        <v>10668.9066</v>
      </c>
    </row>
    <row r="15" customFormat="false" ht="15" hidden="false" customHeight="false" outlineLevel="0" collapsed="false">
      <c r="A15" s="27" t="s">
        <v>407</v>
      </c>
      <c r="B15" s="63" t="s">
        <v>53</v>
      </c>
      <c r="C15" s="66" t="n">
        <f aca="false">SUM(E15:P15)</f>
        <v>2513080</v>
      </c>
      <c r="D15" s="66" t="n">
        <f aca="false">SUM(Q15:AB15)</f>
        <v>2485600</v>
      </c>
      <c r="E15" s="67" t="n">
        <f aca="false">Hardware!E8</f>
        <v>186000</v>
      </c>
      <c r="F15" s="67" t="n">
        <f aca="false">Hardware!F8</f>
        <v>197000</v>
      </c>
      <c r="G15" s="67" t="n">
        <f aca="false">Hardware!G8</f>
        <v>224000</v>
      </c>
      <c r="H15" s="67" t="n">
        <f aca="false">Hardware!H8</f>
        <v>201000</v>
      </c>
      <c r="I15" s="67" t="n">
        <f aca="false">Hardware!I8</f>
        <v>212000</v>
      </c>
      <c r="J15" s="67" t="n">
        <f aca="false">Hardware!J8</f>
        <v>238000</v>
      </c>
      <c r="K15" s="67" t="n">
        <f aca="false">Hardware!K8</f>
        <v>196000</v>
      </c>
      <c r="L15" s="67" t="n">
        <f aca="false">Hardware!L8</f>
        <v>121000</v>
      </c>
      <c r="M15" s="67" t="n">
        <f aca="false">Hardware!M8</f>
        <v>245440</v>
      </c>
      <c r="N15" s="67" t="n">
        <f aca="false">Hardware!N8</f>
        <v>266240</v>
      </c>
      <c r="O15" s="67" t="n">
        <f aca="false">Hardware!O8</f>
        <v>222560</v>
      </c>
      <c r="P15" s="67" t="n">
        <f aca="false">Hardware!P8</f>
        <v>203840</v>
      </c>
      <c r="Q15" s="67" t="n">
        <f aca="false">Hardware!Q8</f>
        <v>183040</v>
      </c>
      <c r="R15" s="67" t="n">
        <f aca="false">Hardware!R8</f>
        <v>191360</v>
      </c>
      <c r="S15" s="67" t="n">
        <f aca="false">Hardware!S8</f>
        <v>218400</v>
      </c>
      <c r="T15" s="67" t="n">
        <f aca="false">Hardware!T8</f>
        <v>197600</v>
      </c>
      <c r="U15" s="67" t="n">
        <f aca="false">Hardware!U8</f>
        <v>208000</v>
      </c>
      <c r="V15" s="67" t="n">
        <f aca="false">Hardware!V8</f>
        <v>232960</v>
      </c>
      <c r="W15" s="67" t="n">
        <f aca="false">Hardware!W8</f>
        <v>191360</v>
      </c>
      <c r="X15" s="67" t="n">
        <f aca="false">Hardware!X8</f>
        <v>124800</v>
      </c>
      <c r="Y15" s="67" t="n">
        <f aca="false">Hardware!Y8</f>
        <v>245440</v>
      </c>
      <c r="Z15" s="67" t="n">
        <f aca="false">Hardware!Z8</f>
        <v>266240</v>
      </c>
      <c r="AA15" s="67" t="n">
        <f aca="false">Hardware!AA8</f>
        <v>222560</v>
      </c>
      <c r="AB15" s="67" t="n">
        <f aca="false">Hardware!AB8</f>
        <v>203840</v>
      </c>
    </row>
    <row r="16" customFormat="false" ht="15" hidden="false" customHeight="false" outlineLevel="0" collapsed="false">
      <c r="A16" s="27" t="s">
        <v>51</v>
      </c>
      <c r="B16" s="63" t="s">
        <v>51</v>
      </c>
      <c r="C16" s="66" t="n">
        <f aca="false">SUM(E16:P16)</f>
        <v>923294.961904762</v>
      </c>
      <c r="D16" s="66" t="n">
        <f aca="false">SUM(Q16:AB16)</f>
        <v>1078200</v>
      </c>
      <c r="E16" s="67" t="n">
        <f aca="false">Projects!E170</f>
        <v>50552.08</v>
      </c>
      <c r="F16" s="67" t="n">
        <f aca="false">Projects!F170</f>
        <v>68641.43</v>
      </c>
      <c r="G16" s="67" t="n">
        <f aca="false">Projects!G170</f>
        <v>91670.16</v>
      </c>
      <c r="H16" s="67" t="n">
        <f aca="false">Projects!H170</f>
        <v>96051.3</v>
      </c>
      <c r="I16" s="67" t="n">
        <f aca="false">Projects!I170</f>
        <v>88649.11</v>
      </c>
      <c r="J16" s="67" t="n">
        <f aca="false">Projects!J170</f>
        <v>29853.61</v>
      </c>
      <c r="K16" s="67" t="n">
        <f aca="false">Projects!K170</f>
        <v>71123.71</v>
      </c>
      <c r="L16" s="67" t="n">
        <f aca="false">Projects!L170</f>
        <v>38771.77</v>
      </c>
      <c r="M16" s="67" t="n">
        <f aca="false">Projects!M170</f>
        <v>90081.7919047619</v>
      </c>
      <c r="N16" s="67" t="n">
        <f aca="false">Projects!N170</f>
        <v>104400</v>
      </c>
      <c r="O16" s="67" t="n">
        <f aca="false">Projects!O170</f>
        <v>99000</v>
      </c>
      <c r="P16" s="67" t="n">
        <f aca="false">Projects!P170</f>
        <v>94500</v>
      </c>
      <c r="Q16" s="67" t="n">
        <f aca="false">Projects!Q170</f>
        <v>85500</v>
      </c>
      <c r="R16" s="67" t="n">
        <f aca="false">Projects!R170</f>
        <v>89100</v>
      </c>
      <c r="S16" s="67" t="n">
        <f aca="false">Projects!S170</f>
        <v>95400</v>
      </c>
      <c r="T16" s="67" t="n">
        <f aca="false">Projects!T170</f>
        <v>91800</v>
      </c>
      <c r="U16" s="67" t="n">
        <f aca="false">Projects!U170</f>
        <v>87300</v>
      </c>
      <c r="V16" s="67" t="n">
        <f aca="false">Projects!V170</f>
        <v>99000</v>
      </c>
      <c r="W16" s="67" t="n">
        <f aca="false">Projects!W170</f>
        <v>83700</v>
      </c>
      <c r="X16" s="67" t="n">
        <f aca="false">Projects!X170</f>
        <v>54000</v>
      </c>
      <c r="Y16" s="67" t="n">
        <f aca="false">Projects!Y170</f>
        <v>94500</v>
      </c>
      <c r="Z16" s="67" t="n">
        <f aca="false">Projects!Z170</f>
        <v>104400</v>
      </c>
      <c r="AA16" s="67" t="n">
        <f aca="false">Projects!AA170</f>
        <v>99000</v>
      </c>
      <c r="AB16" s="67" t="n">
        <f aca="false">Projects!AB170</f>
        <v>94500</v>
      </c>
    </row>
    <row r="17" customFormat="false" ht="15" hidden="false" customHeight="false" outlineLevel="0" collapsed="false">
      <c r="A17" s="59" t="s">
        <v>408</v>
      </c>
      <c r="B17" s="60"/>
      <c r="C17" s="61" t="n">
        <f aca="false">SUM(E17:P17)</f>
        <v>7532111.18066571</v>
      </c>
      <c r="D17" s="61" t="n">
        <f aca="false">SUM(Q17:AB17)</f>
        <v>8204438.49545219</v>
      </c>
      <c r="E17" s="61" t="n">
        <f aca="false">SUM(E9:E16)</f>
        <v>565487.86</v>
      </c>
      <c r="F17" s="61" t="n">
        <f aca="false">SUM(F9:F16)</f>
        <v>596889.586666667</v>
      </c>
      <c r="G17" s="61" t="n">
        <f aca="false">SUM(G9:G16)</f>
        <v>653538.056666667</v>
      </c>
      <c r="H17" s="61" t="n">
        <f aca="false">SUM(H9:H16)</f>
        <v>633432.806666667</v>
      </c>
      <c r="I17" s="61" t="n">
        <f aca="false">SUM(I9:I16)</f>
        <v>632143.376666667</v>
      </c>
      <c r="J17" s="61" t="n">
        <f aca="false">SUM(J9:J16)</f>
        <v>602238.1</v>
      </c>
      <c r="K17" s="61" t="n">
        <f aca="false">SUM(K9:K16)</f>
        <v>602404.58</v>
      </c>
      <c r="L17" s="61" t="n">
        <f aca="false">SUM(L9:L16)</f>
        <v>496657.493333333</v>
      </c>
      <c r="M17" s="61" t="n">
        <f aca="false">SUM(M9:M16)</f>
        <v>677209.00953566</v>
      </c>
      <c r="N17" s="61" t="n">
        <f aca="false">SUM(N9:N16)</f>
        <v>720170.603290139</v>
      </c>
      <c r="O17" s="61" t="n">
        <f aca="false">SUM(O9:O16)</f>
        <v>682827.879265584</v>
      </c>
      <c r="P17" s="61" t="n">
        <f aca="false">SUM(P9:P16)</f>
        <v>669111.82857433</v>
      </c>
      <c r="Q17" s="61" t="n">
        <f aca="false">SUM(Q9:Q16)</f>
        <v>643317.3306378</v>
      </c>
      <c r="R17" s="61" t="n">
        <f aca="false">SUM(R9:R16)</f>
        <v>660913.119564763</v>
      </c>
      <c r="S17" s="61" t="n">
        <f aca="false">SUM(S9:S16)</f>
        <v>696378.456363749</v>
      </c>
      <c r="T17" s="61" t="n">
        <f aca="false">SUM(T9:T16)</f>
        <v>674790.049461631</v>
      </c>
      <c r="U17" s="61" t="n">
        <f aca="false">SUM(U9:U16)</f>
        <v>681706.141177345</v>
      </c>
      <c r="V17" s="61" t="n">
        <f aca="false">SUM(V9:V16)</f>
        <v>719723.080766578</v>
      </c>
      <c r="W17" s="61" t="n">
        <f aca="false">SUM(W9:W16)</f>
        <v>663122.515143711</v>
      </c>
      <c r="X17" s="61" t="n">
        <f aca="false">SUM(X9:X16)</f>
        <v>563079.670249114</v>
      </c>
      <c r="Y17" s="61" t="n">
        <f aca="false">SUM(Y9:Y16)</f>
        <v>729981.919141372</v>
      </c>
      <c r="Z17" s="61" t="n">
        <f aca="false">SUM(Z9:Z16)</f>
        <v>762517.118511857</v>
      </c>
      <c r="AA17" s="61" t="n">
        <f aca="false">SUM(AA9:AA16)</f>
        <v>715172.693147651</v>
      </c>
      <c r="AB17" s="61" t="n">
        <f aca="false">SUM(AB9:AB16)</f>
        <v>693736.401286619</v>
      </c>
    </row>
    <row r="18" customFormat="false" ht="15" hidden="false" customHeight="false" outlineLevel="0" collapsed="false">
      <c r="A18" s="21" t="s">
        <v>762</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row>
    <row r="19" customFormat="false" ht="15" hidden="false" customHeight="false" outlineLevel="0" collapsed="false">
      <c r="A19" s="27" t="s">
        <v>763</v>
      </c>
      <c r="B19" s="63"/>
      <c r="C19" s="66" t="n">
        <f aca="false">SUM(E19:P19)</f>
        <v>3586930.42001095</v>
      </c>
      <c r="D19" s="66" t="n">
        <f aca="false">SUM(Q19:AB19)</f>
        <v>4118151.83545219</v>
      </c>
      <c r="E19" s="76" t="n">
        <f aca="false">E9+E10+E11+E12</f>
        <v>288374.83</v>
      </c>
      <c r="F19" s="76" t="n">
        <f aca="false">F9+F10+F11+F12</f>
        <v>289887.79</v>
      </c>
      <c r="G19" s="76" t="n">
        <f aca="false">G9+G10+G11+G12</f>
        <v>294708.93</v>
      </c>
      <c r="H19" s="76" t="n">
        <f aca="false">H9+H10+H11+H12</f>
        <v>294421.49</v>
      </c>
      <c r="I19" s="76" t="n">
        <f aca="false">I9+I10+I11+I12</f>
        <v>289342.7</v>
      </c>
      <c r="J19" s="76" t="n">
        <f aca="false">J9+J10+J11+J12</f>
        <v>291699.94</v>
      </c>
      <c r="K19" s="76" t="n">
        <f aca="false">K9+K10+K11+K12</f>
        <v>293395.62</v>
      </c>
      <c r="L19" s="76" t="n">
        <f aca="false">L9+L10+L11+L12</f>
        <v>297373.49</v>
      </c>
      <c r="M19" s="76" t="n">
        <f aca="false">M9+M10+M11+M12</f>
        <v>298832.270614231</v>
      </c>
      <c r="N19" s="76" t="n">
        <f aca="false">N9+N10+N11+N12</f>
        <v>306059.880923472</v>
      </c>
      <c r="O19" s="76" t="n">
        <f aca="false">O9+O10+O11+O12</f>
        <v>317110.556498918</v>
      </c>
      <c r="P19" s="76" t="n">
        <f aca="false">P9+P10+P11+P12</f>
        <v>325722.92197433</v>
      </c>
      <c r="Q19" s="76" t="n">
        <f aca="false">Q9+Q10+Q11+Q12</f>
        <v>332958.009871133</v>
      </c>
      <c r="R19" s="76" t="n">
        <f aca="false">R9+R10+R11+R12</f>
        <v>338105.18183143</v>
      </c>
      <c r="S19" s="76" t="n">
        <f aca="false">S9+S10+S11+S12</f>
        <v>338550.017630416</v>
      </c>
      <c r="T19" s="76" t="n">
        <f aca="false">T9+T10+T11+T12</f>
        <v>342524.319811631</v>
      </c>
      <c r="U19" s="76" t="n">
        <f aca="false">U9+U10+U11+U12</f>
        <v>343265.936377345</v>
      </c>
      <c r="V19" s="76" t="n">
        <f aca="false">V9+V10+V11+V12</f>
        <v>344080.258999911</v>
      </c>
      <c r="W19" s="76" t="n">
        <f aca="false">W9+W10+W11+W12</f>
        <v>345149.277210377</v>
      </c>
      <c r="X19" s="76" t="n">
        <f aca="false">X9+X10+X11+X12</f>
        <v>343608.200382447</v>
      </c>
      <c r="Y19" s="76" t="n">
        <f aca="false">Y9+Y10+Y11+Y12</f>
        <v>345818.705458039</v>
      </c>
      <c r="Z19" s="76" t="n">
        <f aca="false">Z9+Z10+Z11+Z12</f>
        <v>347036.129478524</v>
      </c>
      <c r="AA19" s="76" t="n">
        <f aca="false">AA9+AA10+AA11+AA12</f>
        <v>348083.503714318</v>
      </c>
      <c r="AB19" s="76" t="n">
        <f aca="false">AB9+AB10+AB11+AB12</f>
        <v>348972.294686619</v>
      </c>
    </row>
    <row r="20" customFormat="false" ht="15" hidden="false" customHeight="false" outlineLevel="0" collapsed="false">
      <c r="A20" s="27" t="s">
        <v>764</v>
      </c>
      <c r="B20" s="63"/>
      <c r="C20" s="66" t="n">
        <f aca="false">SUM(E20:P20)</f>
        <v>508805.79875</v>
      </c>
      <c r="D20" s="66" t="n">
        <f aca="false">SUM(Q20:AB20)</f>
        <v>522486.66</v>
      </c>
      <c r="E20" s="76" t="n">
        <f aca="false">E13+E14</f>
        <v>40560.95</v>
      </c>
      <c r="F20" s="76" t="n">
        <f aca="false">F13+F14</f>
        <v>41360.3666666667</v>
      </c>
      <c r="G20" s="76" t="n">
        <f aca="false">G13+G14</f>
        <v>43158.9666666667</v>
      </c>
      <c r="H20" s="76" t="n">
        <f aca="false">H13+H14</f>
        <v>41960.0166666667</v>
      </c>
      <c r="I20" s="76" t="n">
        <f aca="false">I13+I14</f>
        <v>42151.5666666667</v>
      </c>
      <c r="J20" s="76" t="n">
        <f aca="false">J13+J14</f>
        <v>42684.55</v>
      </c>
      <c r="K20" s="76" t="n">
        <f aca="false">K13+K14</f>
        <v>41885.25</v>
      </c>
      <c r="L20" s="76" t="n">
        <f aca="false">L13+L14</f>
        <v>39512.2333333333</v>
      </c>
      <c r="M20" s="76" t="n">
        <f aca="false">M13+M14</f>
        <v>42854.9470166667</v>
      </c>
      <c r="N20" s="76" t="n">
        <f aca="false">N13+N14</f>
        <v>43470.7223666667</v>
      </c>
      <c r="O20" s="76" t="n">
        <f aca="false">O13+O14</f>
        <v>44157.3227666667</v>
      </c>
      <c r="P20" s="76" t="n">
        <f aca="false">P13+P14</f>
        <v>45048.9066</v>
      </c>
      <c r="Q20" s="76" t="n">
        <f aca="false">Q13+Q14</f>
        <v>41819.3207666667</v>
      </c>
      <c r="R20" s="76" t="n">
        <f aca="false">R13+R14</f>
        <v>42347.9377333333</v>
      </c>
      <c r="S20" s="76" t="n">
        <f aca="false">S13+S14</f>
        <v>44028.4387333333</v>
      </c>
      <c r="T20" s="76" t="n">
        <f aca="false">T13+T14</f>
        <v>42865.72965</v>
      </c>
      <c r="U20" s="76" t="n">
        <f aca="false">U13+U14</f>
        <v>43140.2048</v>
      </c>
      <c r="V20" s="76" t="n">
        <f aca="false">V13+V14</f>
        <v>43682.8217666667</v>
      </c>
      <c r="W20" s="76" t="n">
        <f aca="false">W13+W14</f>
        <v>42913.2379333333</v>
      </c>
      <c r="X20" s="76" t="n">
        <f aca="false">X13+X14</f>
        <v>40671.4698666667</v>
      </c>
      <c r="Y20" s="76" t="n">
        <f aca="false">Y13+Y14</f>
        <v>44223.2136833333</v>
      </c>
      <c r="Z20" s="76" t="n">
        <f aca="false">Z13+Z14</f>
        <v>44840.9890333333</v>
      </c>
      <c r="AA20" s="76" t="n">
        <f aca="false">AA13+AA14</f>
        <v>45529.1894333333</v>
      </c>
      <c r="AB20" s="76" t="n">
        <f aca="false">AB13+AB14</f>
        <v>46424.1066</v>
      </c>
    </row>
    <row r="21" customFormat="false" ht="15" hidden="false" customHeight="false" outlineLevel="0" collapsed="false">
      <c r="A21" s="27" t="s">
        <v>53</v>
      </c>
      <c r="B21" s="63"/>
      <c r="C21" s="66" t="n">
        <f aca="false">SUM(E21:P21)</f>
        <v>2513080</v>
      </c>
      <c r="D21" s="66" t="n">
        <f aca="false">SUM(Q21:AB21)</f>
        <v>2485600</v>
      </c>
      <c r="E21" s="76" t="n">
        <f aca="false">E15</f>
        <v>186000</v>
      </c>
      <c r="F21" s="76" t="n">
        <f aca="false">F15</f>
        <v>197000</v>
      </c>
      <c r="G21" s="76" t="n">
        <f aca="false">G15</f>
        <v>224000</v>
      </c>
      <c r="H21" s="76" t="n">
        <f aca="false">H15</f>
        <v>201000</v>
      </c>
      <c r="I21" s="76" t="n">
        <f aca="false">I15</f>
        <v>212000</v>
      </c>
      <c r="J21" s="76" t="n">
        <f aca="false">J15</f>
        <v>238000</v>
      </c>
      <c r="K21" s="76" t="n">
        <f aca="false">K15</f>
        <v>196000</v>
      </c>
      <c r="L21" s="76" t="n">
        <f aca="false">L15</f>
        <v>121000</v>
      </c>
      <c r="M21" s="76" t="n">
        <f aca="false">M15</f>
        <v>245440</v>
      </c>
      <c r="N21" s="76" t="n">
        <f aca="false">N15</f>
        <v>266240</v>
      </c>
      <c r="O21" s="76" t="n">
        <f aca="false">O15</f>
        <v>222560</v>
      </c>
      <c r="P21" s="76" t="n">
        <f aca="false">P15</f>
        <v>203840</v>
      </c>
      <c r="Q21" s="76" t="n">
        <f aca="false">Q15</f>
        <v>183040</v>
      </c>
      <c r="R21" s="76" t="n">
        <f aca="false">R15</f>
        <v>191360</v>
      </c>
      <c r="S21" s="76" t="n">
        <f aca="false">S15</f>
        <v>218400</v>
      </c>
      <c r="T21" s="76" t="n">
        <f aca="false">T15</f>
        <v>197600</v>
      </c>
      <c r="U21" s="76" t="n">
        <f aca="false">U15</f>
        <v>208000</v>
      </c>
      <c r="V21" s="76" t="n">
        <f aca="false">V15</f>
        <v>232960</v>
      </c>
      <c r="W21" s="76" t="n">
        <f aca="false">W15</f>
        <v>191360</v>
      </c>
      <c r="X21" s="76" t="n">
        <f aca="false">X15</f>
        <v>124800</v>
      </c>
      <c r="Y21" s="76" t="n">
        <f aca="false">Y15</f>
        <v>245440</v>
      </c>
      <c r="Z21" s="76" t="n">
        <f aca="false">Z15</f>
        <v>266240</v>
      </c>
      <c r="AA21" s="76" t="n">
        <f aca="false">AA15</f>
        <v>222560</v>
      </c>
      <c r="AB21" s="76" t="n">
        <f aca="false">AB15</f>
        <v>203840</v>
      </c>
    </row>
    <row r="22" customFormat="false" ht="15" hidden="false" customHeight="false" outlineLevel="0" collapsed="false">
      <c r="A22" s="27" t="s">
        <v>51</v>
      </c>
      <c r="B22" s="63"/>
      <c r="C22" s="66" t="n">
        <f aca="false">SUM(E22:P22)</f>
        <v>923294.961904762</v>
      </c>
      <c r="D22" s="66" t="n">
        <f aca="false">SUM(Q22:AB22)</f>
        <v>1078200</v>
      </c>
      <c r="E22" s="76" t="n">
        <f aca="false">E16</f>
        <v>50552.08</v>
      </c>
      <c r="F22" s="76" t="n">
        <f aca="false">F16</f>
        <v>68641.43</v>
      </c>
      <c r="G22" s="76" t="n">
        <f aca="false">G16</f>
        <v>91670.16</v>
      </c>
      <c r="H22" s="76" t="n">
        <f aca="false">H16</f>
        <v>96051.3</v>
      </c>
      <c r="I22" s="76" t="n">
        <f aca="false">I16</f>
        <v>88649.11</v>
      </c>
      <c r="J22" s="76" t="n">
        <f aca="false">J16</f>
        <v>29853.61</v>
      </c>
      <c r="K22" s="76" t="n">
        <f aca="false">K16</f>
        <v>71123.71</v>
      </c>
      <c r="L22" s="76" t="n">
        <f aca="false">L16</f>
        <v>38771.77</v>
      </c>
      <c r="M22" s="76" t="n">
        <f aca="false">M16</f>
        <v>90081.7919047619</v>
      </c>
      <c r="N22" s="76" t="n">
        <f aca="false">N16</f>
        <v>104400</v>
      </c>
      <c r="O22" s="76" t="n">
        <f aca="false">O16</f>
        <v>99000</v>
      </c>
      <c r="P22" s="76" t="n">
        <f aca="false">P16</f>
        <v>94500</v>
      </c>
      <c r="Q22" s="76" t="n">
        <f aca="false">Q16</f>
        <v>85500</v>
      </c>
      <c r="R22" s="76" t="n">
        <f aca="false">R16</f>
        <v>89100</v>
      </c>
      <c r="S22" s="76" t="n">
        <f aca="false">S16</f>
        <v>95400</v>
      </c>
      <c r="T22" s="76" t="n">
        <f aca="false">T16</f>
        <v>91800</v>
      </c>
      <c r="U22" s="76" t="n">
        <f aca="false">U16</f>
        <v>87300</v>
      </c>
      <c r="V22" s="76" t="n">
        <f aca="false">V16</f>
        <v>99000</v>
      </c>
      <c r="W22" s="76" t="n">
        <f aca="false">W16</f>
        <v>83700</v>
      </c>
      <c r="X22" s="76" t="n">
        <f aca="false">X16</f>
        <v>54000</v>
      </c>
      <c r="Y22" s="76" t="n">
        <f aca="false">Y16</f>
        <v>94500</v>
      </c>
      <c r="Z22" s="76" t="n">
        <f aca="false">Z16</f>
        <v>104400</v>
      </c>
      <c r="AA22" s="76" t="n">
        <f aca="false">AA16</f>
        <v>99000</v>
      </c>
      <c r="AB22" s="76" t="n">
        <f aca="false">AB16</f>
        <v>94500</v>
      </c>
    </row>
    <row r="23" customFormat="false" ht="15" hidden="false" customHeight="false" outlineLevel="0" collapsed="false">
      <c r="A23" s="27" t="s">
        <v>765</v>
      </c>
      <c r="B23" s="63"/>
      <c r="C23" s="66" t="n">
        <f aca="false">SUM(E23:P23)</f>
        <v>3995345.42001095</v>
      </c>
      <c r="D23" s="66" t="n">
        <f aca="false">SUM(Q23:AB23)</f>
        <v>4543648.43545219</v>
      </c>
      <c r="E23" s="76" t="n">
        <f aca="false">E19+E13</f>
        <v>321999.83</v>
      </c>
      <c r="F23" s="76" t="n">
        <f aca="false">F19+F13</f>
        <v>323604.456666667</v>
      </c>
      <c r="G23" s="76" t="n">
        <f aca="false">G19+G13</f>
        <v>328525.596666667</v>
      </c>
      <c r="H23" s="76" t="n">
        <f aca="false">H19+H13</f>
        <v>328313.156666667</v>
      </c>
      <c r="I23" s="76" t="n">
        <f aca="false">I19+I13</f>
        <v>323284.366666667</v>
      </c>
      <c r="J23" s="76" t="n">
        <f aca="false">J19+J13</f>
        <v>325749.94</v>
      </c>
      <c r="K23" s="76" t="n">
        <f aca="false">K19+K13</f>
        <v>327495.62</v>
      </c>
      <c r="L23" s="76" t="n">
        <f aca="false">L19+L13</f>
        <v>331506.823333333</v>
      </c>
      <c r="M23" s="76" t="n">
        <f aca="false">M19+M13</f>
        <v>333038.937280898</v>
      </c>
      <c r="N23" s="76" t="n">
        <f aca="false">N19+N13</f>
        <v>340316.547590139</v>
      </c>
      <c r="O23" s="76" t="n">
        <f aca="false">O19+O13</f>
        <v>351407.223165584</v>
      </c>
      <c r="P23" s="76" t="n">
        <f aca="false">P19+P13</f>
        <v>360102.92197433</v>
      </c>
      <c r="Q23" s="76" t="n">
        <f aca="false">Q19+Q13</f>
        <v>368149.6765378</v>
      </c>
      <c r="R23" s="76" t="n">
        <f aca="false">R19+R13</f>
        <v>373340.515164763</v>
      </c>
      <c r="S23" s="76" t="n">
        <f aca="false">S19+S13</f>
        <v>373849.350963749</v>
      </c>
      <c r="T23" s="76" t="n">
        <f aca="false">T19+T13</f>
        <v>377873.319811631</v>
      </c>
      <c r="U23" s="76" t="n">
        <f aca="false">U19+U13</f>
        <v>378646.936377345</v>
      </c>
      <c r="V23" s="76" t="n">
        <f aca="false">V19+V13</f>
        <v>379518.925666578</v>
      </c>
      <c r="W23" s="76" t="n">
        <f aca="false">W19+W13</f>
        <v>380626.610543711</v>
      </c>
      <c r="X23" s="76" t="n">
        <f aca="false">X19+X13</f>
        <v>379106.867049114</v>
      </c>
      <c r="Y23" s="76" t="n">
        <f aca="false">Y19+Y13</f>
        <v>381393.638791372</v>
      </c>
      <c r="Z23" s="76" t="n">
        <f aca="false">Z19+Z13</f>
        <v>382663.062811857</v>
      </c>
      <c r="AA23" s="76" t="n">
        <f aca="false">AA19+AA13</f>
        <v>383752.037047651</v>
      </c>
      <c r="AB23" s="76" t="n">
        <f aca="false">AB19+AB13</f>
        <v>384727.494686619</v>
      </c>
    </row>
    <row r="24" customFormat="false" ht="15" hidden="false" customHeight="false" outlineLevel="0" collapsed="false">
      <c r="A24" s="27" t="s">
        <v>766</v>
      </c>
      <c r="B24" s="63"/>
      <c r="C24" s="65" t="n">
        <f aca="false">IF(C17=0,0,C23/C17)</f>
        <v>0.530441641682967</v>
      </c>
      <c r="D24" s="65" t="n">
        <f aca="false">IF(D17=0,0,D23/D17)</f>
        <v>0.553803704905678</v>
      </c>
      <c r="E24" s="79" t="n">
        <f aca="false">IF(E17=0,0,E23/E17)</f>
        <v>0.569419527414788</v>
      </c>
      <c r="F24" s="79" t="n">
        <f aca="false">IF(F17=0,0,F23/F17)</f>
        <v>0.542151285422548</v>
      </c>
      <c r="G24" s="79" t="n">
        <f aca="false">IF(G17=0,0,G23/G17)</f>
        <v>0.502687782777781</v>
      </c>
      <c r="H24" s="79" t="n">
        <f aca="false">IF(H17=0,0,H23/H17)</f>
        <v>0.518307787678948</v>
      </c>
      <c r="I24" s="79" t="n">
        <f aca="false">IF(I17=0,0,I23/I17)</f>
        <v>0.511409877251845</v>
      </c>
      <c r="J24" s="79" t="n">
        <f aca="false">IF(J17=0,0,J23/J17)</f>
        <v>0.540898923532072</v>
      </c>
      <c r="K24" s="79" t="n">
        <f aca="false">IF(K17=0,0,K23/K17)</f>
        <v>0.54364729431506</v>
      </c>
      <c r="L24" s="79" t="n">
        <f aca="false">IF(L17=0,0,L23/L17)</f>
        <v>0.667475730826921</v>
      </c>
      <c r="M24" s="79" t="n">
        <f aca="false">IF(M17=0,0,M23/M17)</f>
        <v>0.491781610391232</v>
      </c>
      <c r="N24" s="79" t="n">
        <f aca="false">IF(N17=0,0,N23/N17)</f>
        <v>0.472549901419725</v>
      </c>
      <c r="O24" s="79" t="n">
        <f aca="false">IF(O17=0,0,O23/O17)</f>
        <v>0.514635142817456</v>
      </c>
      <c r="P24" s="79" t="n">
        <f aca="false">IF(P17=0,0,P23/P17)</f>
        <v>0.53818047536478</v>
      </c>
      <c r="Q24" s="79" t="n">
        <f aca="false">IF(Q17=0,0,Q23/Q17)</f>
        <v>0.572267618179675</v>
      </c>
      <c r="R24" s="79" t="n">
        <f aca="false">IF(R17=0,0,R23/R17)</f>
        <v>0.564885919363535</v>
      </c>
      <c r="S24" s="79" t="n">
        <f aca="false">IF(S17=0,0,S23/S17)</f>
        <v>0.536847956089657</v>
      </c>
      <c r="T24" s="79" t="n">
        <f aca="false">IF(T17=0,0,T23/T17)</f>
        <v>0.559986502636058</v>
      </c>
      <c r="U24" s="79" t="n">
        <f aca="false">IF(U17=0,0,U23/U17)</f>
        <v>0.555440113423946</v>
      </c>
      <c r="V24" s="79" t="n">
        <f aca="false">IF(V17=0,0,V23/V17)</f>
        <v>0.527312428639015</v>
      </c>
      <c r="W24" s="79" t="n">
        <f aca="false">IF(W17=0,0,W23/W17)</f>
        <v>0.573991384474741</v>
      </c>
      <c r="X24" s="79" t="n">
        <f aca="false">IF(X17=0,0,X23/X17)</f>
        <v>0.673273938093684</v>
      </c>
      <c r="Y24" s="79" t="n">
        <f aca="false">IF(Y17=0,0,Y23/Y17)</f>
        <v>0.522469980133178</v>
      </c>
      <c r="Z24" s="79" t="n">
        <f aca="false">IF(Z17=0,0,Z23/Z17)</f>
        <v>0.501841930524353</v>
      </c>
      <c r="AA24" s="79" t="n">
        <f aca="false">IF(AA17=0,0,AA23/AA17)</f>
        <v>0.536586534587421</v>
      </c>
      <c r="AB24" s="79" t="n">
        <f aca="false">IF(AB17=0,0,AB23/AB17)</f>
        <v>0.554573025104485</v>
      </c>
    </row>
    <row r="25" customFormat="false" ht="15" hidden="false" customHeight="false" outlineLevel="0" collapsed="false">
      <c r="A25" s="27" t="s">
        <v>354</v>
      </c>
      <c r="B25" s="63" t="s">
        <v>767</v>
      </c>
      <c r="E25" s="64" t="n">
        <f aca="false">IF((History!$C$15)=0,0,E17/(History!$C$15)-1)</f>
        <v>-0.101205667488007</v>
      </c>
      <c r="F25" s="64" t="n">
        <f aca="false">IF((History!$D$15)=0,0,F17/(History!$D$15)-1)</f>
        <v>-0.0875181702063345</v>
      </c>
      <c r="G25" s="64" t="n">
        <f aca="false">IF((History!$E$15)=0,0,G17/(History!$E$15)-1)</f>
        <v>-0.081123847244313</v>
      </c>
      <c r="H25" s="64" t="n">
        <f aca="false">IF((History!$F$15)=0,0,H17/(History!$F$15)-1)</f>
        <v>-0.0721661814784598</v>
      </c>
      <c r="I25" s="64" t="n">
        <f aca="false">IF((History!$G$15)=0,0,I17/(History!$G$15)-1)</f>
        <v>-0.086385195011918</v>
      </c>
      <c r="J25" s="64" t="n">
        <f aca="false">IF((History!$H$15)=0,0,J17/(History!$H$15)-1)</f>
        <v>-0.206037210636867</v>
      </c>
      <c r="K25" s="64" t="n">
        <f aca="false">IF((History!$I$15)=0,0,K17/(History!$I$15)-1)</f>
        <v>-0.105548976649052</v>
      </c>
      <c r="L25" s="64" t="n">
        <f aca="false">IF((History!$J$15)=0,0,L17/(History!$J$15)-1)</f>
        <v>-0.0911607159467947</v>
      </c>
      <c r="M25" s="64" t="n">
        <f aca="false">IF((History!$K$15)=0,0,M17/(History!$K$15)-1)</f>
        <v>-0.114549005111033</v>
      </c>
      <c r="N25" s="64" t="n">
        <f aca="false">IF((History!$L$15)=0,0,N17/(History!$L$15)-1)</f>
        <v>-0.105228967002774</v>
      </c>
      <c r="O25" s="64" t="n">
        <f aca="false">IF((History!$M$15)=0,0,O17/(History!$M$15)-1)</f>
        <v>-0.087053014656915</v>
      </c>
      <c r="P25" s="64" t="n">
        <f aca="false">IF((History!$N$15)=0,0,P17/(History!$N$15)-1)</f>
        <v>-0.0763363792099459</v>
      </c>
      <c r="Q25" s="79" t="n">
        <f aca="false">IF(E17=0,0,Q17/E17-1)</f>
        <v>0.137632434121221</v>
      </c>
      <c r="R25" s="79" t="n">
        <f aca="false">IF(F17=0,0,R17/F17-1)</f>
        <v>0.107261936425523</v>
      </c>
      <c r="S25" s="79" t="n">
        <f aca="false">IF(G17=0,0,S17/G17-1)</f>
        <v>0.0655514996564814</v>
      </c>
      <c r="T25" s="79" t="n">
        <f aca="false">IF(H17=0,0,T17/H17-1)</f>
        <v>0.0652906549198167</v>
      </c>
      <c r="U25" s="79" t="n">
        <f aca="false">IF(I17=0,0,U17/I17-1)</f>
        <v>0.0784043088009971</v>
      </c>
      <c r="V25" s="79" t="n">
        <f aca="false">IF(J17=0,0,V17/J17-1)</f>
        <v>0.195080618058834</v>
      </c>
      <c r="W25" s="79" t="n">
        <f aca="false">IF(K17=0,0,W17/K17-1)</f>
        <v>0.100792618714338</v>
      </c>
      <c r="X25" s="79" t="n">
        <f aca="false">IF(L17=0,0,X17/L17-1)</f>
        <v>0.13373839679733</v>
      </c>
      <c r="Y25" s="79" t="n">
        <f aca="false">IF(M17=0,0,Y17/M17-1)</f>
        <v>0.0779270636725535</v>
      </c>
      <c r="Z25" s="79" t="n">
        <f aca="false">IF(N17=0,0,Z17/N17-1)</f>
        <v>0.0588006717134195</v>
      </c>
      <c r="AA25" s="79" t="n">
        <f aca="false">IF(O17=0,0,AA17/O17-1)</f>
        <v>0.0473689122313745</v>
      </c>
      <c r="AB25" s="79" t="n">
        <f aca="false">IF(P17=0,0,AB17/P17-1)</f>
        <v>0.0368018792385667</v>
      </c>
    </row>
    <row r="26" customFormat="false" ht="15" hidden="false" customHeight="false" outlineLevel="0" collapsed="false">
      <c r="A26" s="27" t="s">
        <v>768</v>
      </c>
      <c r="B26" s="63" t="s">
        <v>767</v>
      </c>
      <c r="E26" s="64" t="n">
        <f aca="false">IF((History!$C$7+History!$C$8+History!$C$9+History!$C$10)=0,0,E19/(History!$C$7+History!$C$8+History!$C$9+History!$C$10)-1)</f>
        <v>0.124770784547733</v>
      </c>
      <c r="F26" s="64" t="n">
        <f aca="false">IF((History!$D$7+History!$D$8+History!$D$9+History!$D$10)=0,0,F19/(History!$D$7+History!$D$8+History!$D$9+History!$D$10)-1)</f>
        <v>0.102849897100417</v>
      </c>
      <c r="G26" s="64" t="n">
        <f aca="false">IF((History!$E$7+History!$E$8+History!$E$9+History!$E$10)=0,0,G19/(History!$E$7+History!$E$8+History!$E$9+History!$E$10)-1)</f>
        <v>0.0931222549905806</v>
      </c>
      <c r="H26" s="64" t="n">
        <f aca="false">IF((History!$F$7+History!$F$8+History!$F$9+History!$F$10)=0,0,H19/(History!$F$7+History!$F$8+History!$F$9+History!$F$10)-1)</f>
        <v>0.0871316345729003</v>
      </c>
      <c r="I26" s="64" t="n">
        <f aca="false">IF((History!$G$7+History!$G$8+History!$G$9+History!$G$10)=0,0,I19/(History!$G$7+History!$G$8+History!$G$9+History!$G$10)-1)</f>
        <v>0.0647194265655871</v>
      </c>
      <c r="J26" s="64" t="n">
        <f aca="false">IF((History!$H$7+History!$H$8+History!$H$9+History!$H$10)=0,0,J19/(History!$H$7+History!$H$8+History!$H$9+History!$H$10)-1)</f>
        <v>0.0541620400254965</v>
      </c>
      <c r="K26" s="64" t="n">
        <f aca="false">IF((History!$I$7+History!$I$8+History!$I$9+History!$I$10)=0,0,K19/(History!$I$7+History!$I$8+History!$I$9+History!$I$10)-1)</f>
        <v>0.056941882855156</v>
      </c>
      <c r="L26" s="64" t="n">
        <f aca="false">IF((History!$J$7+History!$J$8+History!$J$9+History!$J$10)=0,0,L19/(History!$J$7+History!$J$8+History!$J$9+History!$J$10)-1)</f>
        <v>0.0741801999309197</v>
      </c>
      <c r="M26" s="64" t="n">
        <f aca="false">IF((History!$K$7+History!$K$8+History!$K$9+History!$K$10)=0,0,M19/(History!$K$7+History!$K$8+History!$K$9+History!$K$10)-1)</f>
        <v>0.0579037091353354</v>
      </c>
      <c r="N26" s="64" t="n">
        <f aca="false">IF((History!$L$7+History!$L$8+History!$L$9+History!$L$10)=0,0,N19/(History!$L$7+History!$L$8+History!$L$9+History!$L$10)-1)</f>
        <v>0.079230374812391</v>
      </c>
      <c r="O26" s="64" t="n">
        <f aca="false">IF((History!$M$7+History!$M$8+History!$M$9+History!$M$10)=0,0,O19/(History!$M$7+History!$M$8+History!$M$9+History!$M$10)-1)</f>
        <v>0.114370556389464</v>
      </c>
      <c r="P26" s="64" t="n">
        <f aca="false">IF((History!$N$7+History!$N$8+History!$N$9+History!$N$10)=0,0,P19/(History!$N$7+History!$N$8+History!$N$9+History!$N$10)-1)</f>
        <v>0.142219587727127</v>
      </c>
      <c r="Q26" s="79" t="n">
        <f aca="false">IF(E19=0,0,Q19/E19-1)</f>
        <v>0.15460149511361</v>
      </c>
      <c r="R26" s="79" t="n">
        <f aca="false">IF(F19=0,0,R19/F19-1)</f>
        <v>0.166331227098009</v>
      </c>
      <c r="S26" s="79" t="n">
        <f aca="false">IF(G19=0,0,S19/G19-1)</f>
        <v>0.148760635215282</v>
      </c>
      <c r="T26" s="79" t="n">
        <f aca="false">IF(H19=0,0,T19/H19-1)</f>
        <v>0.16338083817058</v>
      </c>
      <c r="U26" s="79" t="n">
        <f aca="false">IF(I19=0,0,U19/I19-1)</f>
        <v>0.186364599408746</v>
      </c>
      <c r="V26" s="79" t="n">
        <f aca="false">IF(J19=0,0,V19/J19-1)</f>
        <v>0.179569179890511</v>
      </c>
      <c r="W26" s="79" t="n">
        <f aca="false">IF(K19=0,0,W19/K19-1)</f>
        <v>0.176395466334424</v>
      </c>
      <c r="X26" s="79" t="n">
        <f aca="false">IF(L19=0,0,X19/L19-1)</f>
        <v>0.155476906776213</v>
      </c>
      <c r="Y26" s="79" t="n">
        <f aca="false">IF(M19=0,0,Y19/M19-1)</f>
        <v>0.15723346995701</v>
      </c>
      <c r="Z26" s="79" t="n">
        <f aca="false">IF(N19=0,0,Z19/N19-1)</f>
        <v>0.133883109512474</v>
      </c>
      <c r="AA26" s="79" t="n">
        <f aca="false">IF(O19=0,0,AA19/O19-1)</f>
        <v>0.0976723939983566</v>
      </c>
      <c r="AB26" s="79" t="n">
        <f aca="false">IF(P19=0,0,AB19/P19-1)</f>
        <v>0.0713777604946126</v>
      </c>
    </row>
    <row r="27" customFormat="false" ht="15" hidden="false" customHeight="false" outlineLevel="0" collapsed="false">
      <c r="A27" s="27" t="s">
        <v>769</v>
      </c>
      <c r="B27" s="63" t="s">
        <v>55</v>
      </c>
      <c r="C27" s="66" t="n">
        <f aca="false">SUM(E27:P27)</f>
        <v>709225</v>
      </c>
      <c r="D27" s="66" t="n">
        <f aca="false">SUM(Q27:AB27)</f>
        <v>685200</v>
      </c>
      <c r="E27" s="67" t="n">
        <f aca="false">Licences!E22</f>
        <v>49000</v>
      </c>
      <c r="F27" s="67" t="n">
        <f aca="false">Licences!F22</f>
        <v>54000</v>
      </c>
      <c r="G27" s="67" t="n">
        <f aca="false">Licences!G22</f>
        <v>66000</v>
      </c>
      <c r="H27" s="67" t="n">
        <f aca="false">Licences!H22</f>
        <v>57000</v>
      </c>
      <c r="I27" s="67" t="n">
        <f aca="false">Licences!I22</f>
        <v>58000</v>
      </c>
      <c r="J27" s="67" t="n">
        <f aca="false">Licences!J22</f>
        <v>61000</v>
      </c>
      <c r="K27" s="67" t="n">
        <f aca="false">Licences!K22</f>
        <v>55000</v>
      </c>
      <c r="L27" s="67" t="n">
        <f aca="false">Licences!L22</f>
        <v>38000</v>
      </c>
      <c r="M27" s="67" t="n">
        <f aca="false">Licences!M22</f>
        <v>61097</v>
      </c>
      <c r="N27" s="67" t="n">
        <f aca="false">Licences!N22</f>
        <v>65094</v>
      </c>
      <c r="O27" s="67" t="n">
        <f aca="false">Licences!O22</f>
        <v>69662</v>
      </c>
      <c r="P27" s="67" t="n">
        <f aca="false">Licences!P22</f>
        <v>75372</v>
      </c>
      <c r="Q27" s="67" t="n">
        <f aca="false">Licences!Q22</f>
        <v>46822</v>
      </c>
      <c r="R27" s="67" t="n">
        <f aca="false">Licences!R22</f>
        <v>50248</v>
      </c>
      <c r="S27" s="67" t="n">
        <f aca="false">Licences!S22</f>
        <v>61668</v>
      </c>
      <c r="T27" s="67" t="n">
        <f aca="false">Licences!T22</f>
        <v>53103</v>
      </c>
      <c r="U27" s="67" t="n">
        <f aca="false">Licences!U22</f>
        <v>54816</v>
      </c>
      <c r="V27" s="67" t="n">
        <f aca="false">Licences!V22</f>
        <v>58242</v>
      </c>
      <c r="W27" s="67" t="n">
        <f aca="false">Licences!W22</f>
        <v>52532</v>
      </c>
      <c r="X27" s="67" t="n">
        <f aca="false">Licences!X22</f>
        <v>36544</v>
      </c>
      <c r="Y27" s="67" t="n">
        <f aca="false">Licences!Y22</f>
        <v>61097</v>
      </c>
      <c r="Z27" s="67" t="n">
        <f aca="false">Licences!Z22</f>
        <v>65094</v>
      </c>
      <c r="AA27" s="67" t="n">
        <f aca="false">Licences!AA22</f>
        <v>69662</v>
      </c>
      <c r="AB27" s="67" t="n">
        <f aca="false">Licences!AB22</f>
        <v>75372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8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770</v>
      </c>
    </row>
    <row r="3" customFormat="false" ht="15" hidden="false" customHeight="false" outlineLevel="0" collapsed="false">
      <c r="A3" s="50" t="s">
        <v>771</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772</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773</v>
      </c>
      <c r="B9" s="63" t="s">
        <v>774</v>
      </c>
      <c r="C9" s="66" t="n">
        <f aca="false">P9</f>
        <v>428.4102136068</v>
      </c>
      <c r="D9" s="66" t="n">
        <f aca="false">AB9</f>
        <v>394.925324792061</v>
      </c>
      <c r="E9" s="67" t="n">
        <f aca="false">IF(E$5="A",Inputs_Actuals!E9,IF(Assumptions!E$201&lt;Contract_Register!$T$7,0,Contract_Register!$I$7*(1+Contract_Register!$M$7*Assumptions!$F$178)*IF(AND(Assumptions!E$201&gt;Contract_Register!$T$7,MOD(Assumptions!E$201-Contract_Register!$T$7,Assumptions!$C$90)=0),Contract_Register!$S$7,1)))</f>
        <v>422</v>
      </c>
      <c r="F9" s="67" t="n">
        <f aca="false">IF(F$5="A",Inputs_Actuals!F9,IF(Assumptions!F$201&lt;Contract_Register!$T$7,0,E9*(1+Contract_Register!$M$7*Assumptions!$F$178)*IF(AND(Assumptions!F$201&gt;Contract_Register!$T$7,MOD(Assumptions!F$201-Contract_Register!$T$7,Assumptions!$C$90)=0),Contract_Register!$S$7,1)))</f>
        <v>423</v>
      </c>
      <c r="G9" s="67" t="n">
        <f aca="false">IF(G$5="A",Inputs_Actuals!G9,IF(Assumptions!G$201&lt;Contract_Register!$T$7,0,F9*(1+Contract_Register!$M$7*Assumptions!$F$178)*IF(AND(Assumptions!G$201&gt;Contract_Register!$T$7,MOD(Assumptions!G$201-Contract_Register!$T$7,Assumptions!$C$90)=0),Contract_Register!$S$7,1)))</f>
        <v>422</v>
      </c>
      <c r="H9" s="67" t="n">
        <f aca="false">IF(H$5="A",Inputs_Actuals!H9,IF(Assumptions!H$201&lt;Contract_Register!$T$7,0,G9*(1+Contract_Register!$M$7*Assumptions!$F$178)*IF(AND(Assumptions!H$201&gt;Contract_Register!$T$7,MOD(Assumptions!H$201-Contract_Register!$T$7,Assumptions!$C$90)=0),Contract_Register!$S$7,1)))</f>
        <v>423</v>
      </c>
      <c r="I9" s="67" t="n">
        <f aca="false">IF(I$5="A",Inputs_Actuals!I9,IF(Assumptions!I$201&lt;Contract_Register!$T$7,0,H9*(1+Contract_Register!$M$7*Assumptions!$F$178)*IF(AND(Assumptions!I$201&gt;Contract_Register!$T$7,MOD(Assumptions!I$201-Contract_Register!$T$7,Assumptions!$C$90)=0),Contract_Register!$S$7,1)))</f>
        <v>423</v>
      </c>
      <c r="J9" s="67" t="n">
        <f aca="false">IF(J$5="A",Inputs_Actuals!J9,IF(Assumptions!J$201&lt;Contract_Register!$T$7,0,I9*(1+Contract_Register!$M$7*Assumptions!$F$178)*IF(AND(Assumptions!J$201&gt;Contract_Register!$T$7,MOD(Assumptions!J$201-Contract_Register!$T$7,Assumptions!$C$90)=0),Contract_Register!$S$7,1)))</f>
        <v>424</v>
      </c>
      <c r="K9" s="67" t="n">
        <f aca="false">IF(K$5="A",Inputs_Actuals!K9,IF(Assumptions!K$201&lt;Contract_Register!$T$7,0,J9*(1+Contract_Register!$M$7*Assumptions!$F$178)*IF(AND(Assumptions!K$201&gt;Contract_Register!$T$7,MOD(Assumptions!K$201-Contract_Register!$T$7,Assumptions!$C$90)=0),Contract_Register!$S$7,1)))</f>
        <v>424</v>
      </c>
      <c r="L9" s="67" t="n">
        <f aca="false">IF(L$5="A",Inputs_Actuals!L9,IF(Assumptions!L$201&lt;Contract_Register!$T$7,0,K9*(1+Contract_Register!$M$7*Assumptions!$F$178)*IF(AND(Assumptions!L$201&gt;Contract_Register!$T$7,MOD(Assumptions!L$201-Contract_Register!$T$7,Assumptions!$C$90)=0),Contract_Register!$S$7,1)))</f>
        <v>425</v>
      </c>
      <c r="M9" s="67" t="n">
        <f aca="false">IF(M$5="A",Inputs_Actuals!M9,IF(Assumptions!M$201&lt;Contract_Register!$T$7,0,L9*(1+Contract_Register!$M$7*Assumptions!$F$178)*IF(AND(Assumptions!M$201&gt;Contract_Register!$T$7,MOD(Assumptions!M$201-Contract_Register!$T$7,Assumptions!$C$90)=0),Contract_Register!$S$7,1)))</f>
        <v>425.85</v>
      </c>
      <c r="N9" s="67" t="n">
        <f aca="false">IF(N$5="A",Inputs_Actuals!N9,IF(Assumptions!N$201&lt;Contract_Register!$T$7,0,M9*(1+Contract_Register!$M$7*Assumptions!$F$178)*IF(AND(Assumptions!N$201&gt;Contract_Register!$T$7,MOD(Assumptions!N$201-Contract_Register!$T$7,Assumptions!$C$90)=0),Contract_Register!$S$7,1)))</f>
        <v>426.7017</v>
      </c>
      <c r="O9" s="67" t="n">
        <f aca="false">IF(O$5="A",Inputs_Actuals!O9,IF(Assumptions!O$201&lt;Contract_Register!$T$7,0,N9*(1+Contract_Register!$M$7*Assumptions!$F$178)*IF(AND(Assumptions!O$201&gt;Contract_Register!$T$7,MOD(Assumptions!O$201-Contract_Register!$T$7,Assumptions!$C$90)=0),Contract_Register!$S$7,1)))</f>
        <v>427.5551034</v>
      </c>
      <c r="P9" s="67" t="n">
        <f aca="false">IF(P$5="A",Inputs_Actuals!P9,IF(Assumptions!P$201&lt;Contract_Register!$T$7,0,O9*(1+Contract_Register!$M$7*Assumptions!$F$178)*IF(AND(Assumptions!P$201&gt;Contract_Register!$T$7,MOD(Assumptions!P$201-Contract_Register!$T$7,Assumptions!$C$90)=0),Contract_Register!$S$7,1)))</f>
        <v>428.4102136068</v>
      </c>
      <c r="Q9" s="67" t="n">
        <f aca="false">IF(Q$5="A",Inputs_Actuals!Q9,IF(Assumptions!Q$201&lt;Contract_Register!$T$7,0,P9*(1+Contract_Register!$M$7*Assumptions!$F$178)*IF(AND(Assumptions!Q$201&gt;Contract_Register!$T$7,MOD(Assumptions!Q$201-Contract_Register!$T$7,Assumptions!$C$90)=0),Contract_Register!$S$7,1)))</f>
        <v>429.267034034014</v>
      </c>
      <c r="R9" s="67" t="n">
        <f aca="false">IF(R$5="A",Inputs_Actuals!R9,IF(Assumptions!R$201&lt;Contract_Register!$T$7,0,Q9*(1+Contract_Register!$M$7*Assumptions!$F$178)*IF(AND(Assumptions!R$201&gt;Contract_Register!$T$7,MOD(Assumptions!R$201-Contract_Register!$T$7,Assumptions!$C$90)=0),Contract_Register!$S$7,1)))</f>
        <v>430.125568102082</v>
      </c>
      <c r="S9" s="67" t="n">
        <f aca="false">IF(S$5="A",Inputs_Actuals!S9,IF(Assumptions!S$201&lt;Contract_Register!$T$7,0,R9*(1+Contract_Register!$M$7*Assumptions!$F$178)*IF(AND(Assumptions!S$201&gt;Contract_Register!$T$7,MOD(Assumptions!S$201-Contract_Register!$T$7,Assumptions!$C$90)=0),Contract_Register!$S$7,1)))</f>
        <v>387.887237314457</v>
      </c>
      <c r="T9" s="67" t="n">
        <f aca="false">IF(T$5="A",Inputs_Actuals!T9,IF(Assumptions!T$201&lt;Contract_Register!$T$7,0,S9*(1+Contract_Register!$M$7*Assumptions!$F$178)*IF(AND(Assumptions!T$201&gt;Contract_Register!$T$7,MOD(Assumptions!T$201-Contract_Register!$T$7,Assumptions!$C$90)=0),Contract_Register!$S$7,1)))</f>
        <v>388.663011789086</v>
      </c>
      <c r="U9" s="67" t="n">
        <f aca="false">IF(U$5="A",Inputs_Actuals!U9,IF(Assumptions!U$201&lt;Contract_Register!$T$7,0,T9*(1+Contract_Register!$M$7*Assumptions!$F$178)*IF(AND(Assumptions!U$201&gt;Contract_Register!$T$7,MOD(Assumptions!U$201-Contract_Register!$T$7,Assumptions!$C$90)=0),Contract_Register!$S$7,1)))</f>
        <v>389.440337812664</v>
      </c>
      <c r="V9" s="67" t="n">
        <f aca="false">IF(V$5="A",Inputs_Actuals!V9,IF(Assumptions!V$201&lt;Contract_Register!$T$7,0,U9*(1+Contract_Register!$M$7*Assumptions!$F$178)*IF(AND(Assumptions!V$201&gt;Contract_Register!$T$7,MOD(Assumptions!V$201-Contract_Register!$T$7,Assumptions!$C$90)=0),Contract_Register!$S$7,1)))</f>
        <v>390.21921848829</v>
      </c>
      <c r="W9" s="67" t="n">
        <f aca="false">IF(W$5="A",Inputs_Actuals!W9,IF(Assumptions!W$201&lt;Contract_Register!$T$7,0,V9*(1+Contract_Register!$M$7*Assumptions!$F$178)*IF(AND(Assumptions!W$201&gt;Contract_Register!$T$7,MOD(Assumptions!W$201-Contract_Register!$T$7,Assumptions!$C$90)=0),Contract_Register!$S$7,1)))</f>
        <v>390.999656925266</v>
      </c>
      <c r="X9" s="67" t="n">
        <f aca="false">IF(X$5="A",Inputs_Actuals!X9,IF(Assumptions!X$201&lt;Contract_Register!$T$7,0,W9*(1+Contract_Register!$M$7*Assumptions!$F$178)*IF(AND(Assumptions!X$201&gt;Contract_Register!$T$7,MOD(Assumptions!X$201-Contract_Register!$T$7,Assumptions!$C$90)=0),Contract_Register!$S$7,1)))</f>
        <v>391.781656239117</v>
      </c>
      <c r="Y9" s="67" t="n">
        <f aca="false">IF(Y$5="A",Inputs_Actuals!Y9,IF(Assumptions!Y$201&lt;Contract_Register!$T$7,0,X9*(1+Contract_Register!$M$7*Assumptions!$F$178)*IF(AND(Assumptions!Y$201&gt;Contract_Register!$T$7,MOD(Assumptions!Y$201-Contract_Register!$T$7,Assumptions!$C$90)=0),Contract_Register!$S$7,1)))</f>
        <v>392.565219551595</v>
      </c>
      <c r="Z9" s="67" t="n">
        <f aca="false">IF(Z$5="A",Inputs_Actuals!Z9,IF(Assumptions!Z$201&lt;Contract_Register!$T$7,0,Y9*(1+Contract_Register!$M$7*Assumptions!$F$178)*IF(AND(Assumptions!Z$201&gt;Contract_Register!$T$7,MOD(Assumptions!Z$201-Contract_Register!$T$7,Assumptions!$C$90)=0),Contract_Register!$S$7,1)))</f>
        <v>393.350349990698</v>
      </c>
      <c r="AA9" s="67" t="n">
        <f aca="false">IF(AA$5="A",Inputs_Actuals!AA9,IF(Assumptions!AA$201&lt;Contract_Register!$T$7,0,Z9*(1+Contract_Register!$M$7*Assumptions!$F$178)*IF(AND(Assumptions!AA$201&gt;Contract_Register!$T$7,MOD(Assumptions!AA$201-Contract_Register!$T$7,Assumptions!$C$90)=0),Contract_Register!$S$7,1)))</f>
        <v>394.13705069068</v>
      </c>
      <c r="AB9" s="67" t="n">
        <f aca="false">IF(AB$5="A",Inputs_Actuals!AB9,IF(Assumptions!AB$201&lt;Contract_Register!$T$7,0,AA9*(1+Contract_Register!$M$7*Assumptions!$F$178)*IF(AND(Assumptions!AB$201&gt;Contract_Register!$T$7,MOD(Assumptions!AB$201-Contract_Register!$T$7,Assumptions!$C$90)=0),Contract_Register!$S$7,1)))</f>
        <v>394.925324792061</v>
      </c>
    </row>
    <row r="10" customFormat="false" ht="15" hidden="false" customHeight="false" outlineLevel="0" collapsed="false">
      <c r="A10" s="27" t="s">
        <v>775</v>
      </c>
      <c r="B10" s="63" t="s">
        <v>774</v>
      </c>
      <c r="C10" s="66" t="n">
        <f aca="false">P10</f>
        <v>273.329892932864</v>
      </c>
      <c r="D10" s="66" t="n">
        <f aca="false">AB10</f>
        <v>286.742247504546</v>
      </c>
      <c r="E10" s="67" t="n">
        <f aca="false">IF(E$5="A",Inputs_Actuals!E10,IF(Assumptions!E$201&lt;Contract_Register!$T$8,0,Contract_Register!$I$8*(1+Contract_Register!$M$8*Assumptions!$F$178)*IF(AND(Assumptions!E$201&gt;Contract_Register!$T$8,MOD(Assumptions!E$201-Contract_Register!$T$8,Assumptions!$C$90)=0),Contract_Register!$S$8,1)))</f>
        <v>260</v>
      </c>
      <c r="F10" s="67" t="n">
        <f aca="false">IF(F$5="A",Inputs_Actuals!F10,IF(Assumptions!F$201&lt;Contract_Register!$T$8,0,E10*(1+Contract_Register!$M$8*Assumptions!$F$178)*IF(AND(Assumptions!F$201&gt;Contract_Register!$T$8,MOD(Assumptions!F$201-Contract_Register!$T$8,Assumptions!$C$90)=0),Contract_Register!$S$8,1)))</f>
        <v>262</v>
      </c>
      <c r="G10" s="67" t="n">
        <f aca="false">IF(G$5="A",Inputs_Actuals!G10,IF(Assumptions!G$201&lt;Contract_Register!$T$8,0,F10*(1+Contract_Register!$M$8*Assumptions!$F$178)*IF(AND(Assumptions!G$201&gt;Contract_Register!$T$8,MOD(Assumptions!G$201-Contract_Register!$T$8,Assumptions!$C$90)=0),Contract_Register!$S$8,1)))</f>
        <v>262</v>
      </c>
      <c r="H10" s="67" t="n">
        <f aca="false">IF(H$5="A",Inputs_Actuals!H10,IF(Assumptions!H$201&lt;Contract_Register!$T$8,0,G10*(1+Contract_Register!$M$8*Assumptions!$F$178)*IF(AND(Assumptions!H$201&gt;Contract_Register!$T$8,MOD(Assumptions!H$201-Contract_Register!$T$8,Assumptions!$C$90)=0),Contract_Register!$S$8,1)))</f>
        <v>263</v>
      </c>
      <c r="I10" s="67" t="n">
        <f aca="false">IF(I$5="A",Inputs_Actuals!I10,IF(Assumptions!I$201&lt;Contract_Register!$T$8,0,H10*(1+Contract_Register!$M$8*Assumptions!$F$178)*IF(AND(Assumptions!I$201&gt;Contract_Register!$T$8,MOD(Assumptions!I$201-Contract_Register!$T$8,Assumptions!$C$90)=0),Contract_Register!$S$8,1)))</f>
        <v>265</v>
      </c>
      <c r="J10" s="67" t="n">
        <f aca="false">IF(J$5="A",Inputs_Actuals!J10,IF(Assumptions!J$201&lt;Contract_Register!$T$8,0,I10*(1+Contract_Register!$M$8*Assumptions!$F$178)*IF(AND(Assumptions!J$201&gt;Contract_Register!$T$8,MOD(Assumptions!J$201-Contract_Register!$T$8,Assumptions!$C$90)=0),Contract_Register!$S$8,1)))</f>
        <v>266</v>
      </c>
      <c r="K10" s="67" t="n">
        <f aca="false">IF(K$5="A",Inputs_Actuals!K10,IF(Assumptions!K$201&lt;Contract_Register!$T$8,0,J10*(1+Contract_Register!$M$8*Assumptions!$F$178)*IF(AND(Assumptions!K$201&gt;Contract_Register!$T$8,MOD(Assumptions!K$201-Contract_Register!$T$8,Assumptions!$C$90)=0),Contract_Register!$S$8,1)))</f>
        <v>267</v>
      </c>
      <c r="L10" s="67" t="n">
        <f aca="false">IF(L$5="A",Inputs_Actuals!L10,IF(Assumptions!L$201&lt;Contract_Register!$T$8,0,K10*(1+Contract_Register!$M$8*Assumptions!$F$178)*IF(AND(Assumptions!L$201&gt;Contract_Register!$T$8,MOD(Assumptions!L$201-Contract_Register!$T$8,Assumptions!$C$90)=0),Contract_Register!$S$8,1)))</f>
        <v>269</v>
      </c>
      <c r="M10" s="67" t="n">
        <f aca="false">IF(M$5="A",Inputs_Actuals!M10,IF(Assumptions!M$201&lt;Contract_Register!$T$8,0,L10*(1+Contract_Register!$M$8*Assumptions!$F$178)*IF(AND(Assumptions!M$201&gt;Contract_Register!$T$8,MOD(Assumptions!M$201-Contract_Register!$T$8,Assumptions!$C$90)=0),Contract_Register!$S$8,1)))</f>
        <v>270.076</v>
      </c>
      <c r="N10" s="67" t="n">
        <f aca="false">IF(N$5="A",Inputs_Actuals!N10,IF(Assumptions!N$201&lt;Contract_Register!$T$8,0,M10*(1+Contract_Register!$M$8*Assumptions!$F$178)*IF(AND(Assumptions!N$201&gt;Contract_Register!$T$8,MOD(Assumptions!N$201-Contract_Register!$T$8,Assumptions!$C$90)=0),Contract_Register!$S$8,1)))</f>
        <v>271.156304</v>
      </c>
      <c r="O10" s="67" t="n">
        <f aca="false">IF(O$5="A",Inputs_Actuals!O10,IF(Assumptions!O$201&lt;Contract_Register!$T$8,0,N10*(1+Contract_Register!$M$8*Assumptions!$F$178)*IF(AND(Assumptions!O$201&gt;Contract_Register!$T$8,MOD(Assumptions!O$201-Contract_Register!$T$8,Assumptions!$C$90)=0),Contract_Register!$S$8,1)))</f>
        <v>272.240929216</v>
      </c>
      <c r="P10" s="67" t="n">
        <f aca="false">IF(P$5="A",Inputs_Actuals!P10,IF(Assumptions!P$201&lt;Contract_Register!$T$8,0,O10*(1+Contract_Register!$M$8*Assumptions!$F$178)*IF(AND(Assumptions!P$201&gt;Contract_Register!$T$8,MOD(Assumptions!P$201-Contract_Register!$T$8,Assumptions!$C$90)=0),Contract_Register!$S$8,1)))</f>
        <v>273.329892932864</v>
      </c>
      <c r="Q10" s="67" t="n">
        <f aca="false">IF(Q$5="A",Inputs_Actuals!Q10,IF(Assumptions!Q$201&lt;Contract_Register!$T$8,0,P10*(1+Contract_Register!$M$8*Assumptions!$F$178)*IF(AND(Assumptions!Q$201&gt;Contract_Register!$T$8,MOD(Assumptions!Q$201-Contract_Register!$T$8,Assumptions!$C$90)=0),Contract_Register!$S$8,1)))</f>
        <v>274.423212504596</v>
      </c>
      <c r="R10" s="67" t="n">
        <f aca="false">IF(R$5="A",Inputs_Actuals!R10,IF(Assumptions!R$201&lt;Contract_Register!$T$8,0,Q10*(1+Contract_Register!$M$8*Assumptions!$F$178)*IF(AND(Assumptions!R$201&gt;Contract_Register!$T$8,MOD(Assumptions!R$201-Contract_Register!$T$8,Assumptions!$C$90)=0),Contract_Register!$S$8,1)))</f>
        <v>275.520905354614</v>
      </c>
      <c r="S10" s="67" t="n">
        <f aca="false">IF(S$5="A",Inputs_Actuals!S10,IF(Assumptions!S$201&lt;Contract_Register!$T$8,0,R10*(1+Contract_Register!$M$8*Assumptions!$F$178)*IF(AND(Assumptions!S$201&gt;Contract_Register!$T$8,MOD(Assumptions!S$201-Contract_Register!$T$8,Assumptions!$C$90)=0),Contract_Register!$S$8,1)))</f>
        <v>276.622988976032</v>
      </c>
      <c r="T10" s="67" t="n">
        <f aca="false">IF(T$5="A",Inputs_Actuals!T10,IF(Assumptions!T$201&lt;Contract_Register!$T$8,0,S10*(1+Contract_Register!$M$8*Assumptions!$F$178)*IF(AND(Assumptions!T$201&gt;Contract_Register!$T$8,MOD(Assumptions!T$201-Contract_Register!$T$8,Assumptions!$C$90)=0),Contract_Register!$S$8,1)))</f>
        <v>277.729480931936</v>
      </c>
      <c r="U10" s="67" t="n">
        <f aca="false">IF(U$5="A",Inputs_Actuals!U10,IF(Assumptions!U$201&lt;Contract_Register!$T$8,0,T10*(1+Contract_Register!$M$8*Assumptions!$F$178)*IF(AND(Assumptions!U$201&gt;Contract_Register!$T$8,MOD(Assumptions!U$201-Contract_Register!$T$8,Assumptions!$C$90)=0),Contract_Register!$S$8,1)))</f>
        <v>278.840398855664</v>
      </c>
      <c r="V10" s="67" t="n">
        <f aca="false">IF(V$5="A",Inputs_Actuals!V10,IF(Assumptions!V$201&lt;Contract_Register!$T$8,0,U10*(1+Contract_Register!$M$8*Assumptions!$F$178)*IF(AND(Assumptions!V$201&gt;Contract_Register!$T$8,MOD(Assumptions!V$201-Contract_Register!$T$8,Assumptions!$C$90)=0),Contract_Register!$S$8,1)))</f>
        <v>279.955760451087</v>
      </c>
      <c r="W10" s="67" t="n">
        <f aca="false">IF(W$5="A",Inputs_Actuals!W10,IF(Assumptions!W$201&lt;Contract_Register!$T$8,0,V10*(1+Contract_Register!$M$8*Assumptions!$F$178)*IF(AND(Assumptions!W$201&gt;Contract_Register!$T$8,MOD(Assumptions!W$201-Contract_Register!$T$8,Assumptions!$C$90)=0),Contract_Register!$S$8,1)))</f>
        <v>281.075583492891</v>
      </c>
      <c r="X10" s="67" t="n">
        <f aca="false">IF(X$5="A",Inputs_Actuals!X10,IF(Assumptions!X$201&lt;Contract_Register!$T$8,0,W10*(1+Contract_Register!$M$8*Assumptions!$F$178)*IF(AND(Assumptions!X$201&gt;Contract_Register!$T$8,MOD(Assumptions!X$201-Contract_Register!$T$8,Assumptions!$C$90)=0),Contract_Register!$S$8,1)))</f>
        <v>282.199885826863</v>
      </c>
      <c r="Y10" s="67" t="n">
        <f aca="false">IF(Y$5="A",Inputs_Actuals!Y10,IF(Assumptions!Y$201&lt;Contract_Register!$T$8,0,X10*(1+Contract_Register!$M$8*Assumptions!$F$178)*IF(AND(Assumptions!Y$201&gt;Contract_Register!$T$8,MOD(Assumptions!Y$201-Contract_Register!$T$8,Assumptions!$C$90)=0),Contract_Register!$S$8,1)))</f>
        <v>283.32868537017</v>
      </c>
      <c r="Z10" s="67" t="n">
        <f aca="false">IF(Z$5="A",Inputs_Actuals!Z10,IF(Assumptions!Z$201&lt;Contract_Register!$T$8,0,Y10*(1+Contract_Register!$M$8*Assumptions!$F$178)*IF(AND(Assumptions!Z$201&gt;Contract_Register!$T$8,MOD(Assumptions!Z$201-Contract_Register!$T$8,Assumptions!$C$90)=0),Contract_Register!$S$8,1)))</f>
        <v>284.462000111651</v>
      </c>
      <c r="AA10" s="67" t="n">
        <f aca="false">IF(AA$5="A",Inputs_Actuals!AA10,IF(Assumptions!AA$201&lt;Contract_Register!$T$8,0,Z10*(1+Contract_Register!$M$8*Assumptions!$F$178)*IF(AND(Assumptions!AA$201&gt;Contract_Register!$T$8,MOD(Assumptions!AA$201-Contract_Register!$T$8,Assumptions!$C$90)=0),Contract_Register!$S$8,1)))</f>
        <v>285.599848112098</v>
      </c>
      <c r="AB10" s="67" t="n">
        <f aca="false">IF(AB$5="A",Inputs_Actuals!AB10,IF(Assumptions!AB$201&lt;Contract_Register!$T$8,0,AA10*(1+Contract_Register!$M$8*Assumptions!$F$178)*IF(AND(Assumptions!AB$201&gt;Contract_Register!$T$8,MOD(Assumptions!AB$201-Contract_Register!$T$8,Assumptions!$C$90)=0),Contract_Register!$S$8,1)))</f>
        <v>286.742247504546</v>
      </c>
    </row>
    <row r="11" customFormat="false" ht="15" hidden="false" customHeight="false" outlineLevel="0" collapsed="false">
      <c r="A11" s="27" t="s">
        <v>776</v>
      </c>
      <c r="B11" s="63" t="s">
        <v>774</v>
      </c>
      <c r="C11" s="66" t="n">
        <f aca="false">P11</f>
        <v>141.323885123181</v>
      </c>
      <c r="D11" s="66" t="n">
        <f aca="false">AB11</f>
        <v>143.029130282399</v>
      </c>
      <c r="E11" s="67" t="n">
        <f aca="false">IF(E$5="A",Inputs_Actuals!E11,IF(Assumptions!E$201&lt;Contract_Register!$T$9,0,Contract_Register!$I$9*(1+Contract_Register!$M$9*Assumptions!$F$178)*IF(AND(Assumptions!E$201&gt;Contract_Register!$T$9,MOD(Assumptions!E$201-Contract_Register!$T$9,Assumptions!$C$90)=0),Contract_Register!$S$9,1)))</f>
        <v>150</v>
      </c>
      <c r="F11" s="67" t="n">
        <f aca="false">IF(F$5="A",Inputs_Actuals!F11,IF(Assumptions!F$201&lt;Contract_Register!$T$9,0,E11*(1+Contract_Register!$M$9*Assumptions!$F$178)*IF(AND(Assumptions!F$201&gt;Contract_Register!$T$9,MOD(Assumptions!F$201-Contract_Register!$T$9,Assumptions!$C$90)=0),Contract_Register!$S$9,1)))</f>
        <v>151</v>
      </c>
      <c r="G11" s="67" t="n">
        <f aca="false">IF(G$5="A",Inputs_Actuals!G11,IF(Assumptions!G$201&lt;Contract_Register!$T$9,0,F11*(1+Contract_Register!$M$9*Assumptions!$F$178)*IF(AND(Assumptions!G$201&gt;Contract_Register!$T$9,MOD(Assumptions!G$201-Contract_Register!$T$9,Assumptions!$C$90)=0),Contract_Register!$S$9,1)))</f>
        <v>152</v>
      </c>
      <c r="H11" s="67" t="n">
        <f aca="false">IF(H$5="A",Inputs_Actuals!H11,IF(Assumptions!H$201&lt;Contract_Register!$T$9,0,G11*(1+Contract_Register!$M$9*Assumptions!$F$178)*IF(AND(Assumptions!H$201&gt;Contract_Register!$T$9,MOD(Assumptions!H$201-Contract_Register!$T$9,Assumptions!$C$90)=0),Contract_Register!$S$9,1)))</f>
        <v>152</v>
      </c>
      <c r="I11" s="67" t="n">
        <f aca="false">IF(I$5="A",Inputs_Actuals!I11,IF(Assumptions!I$201&lt;Contract_Register!$T$9,0,H11*(1+Contract_Register!$M$9*Assumptions!$F$178)*IF(AND(Assumptions!I$201&gt;Contract_Register!$T$9,MOD(Assumptions!I$201-Contract_Register!$T$9,Assumptions!$C$90)=0),Contract_Register!$S$9,1)))</f>
        <v>153</v>
      </c>
      <c r="J11" s="67" t="n">
        <f aca="false">IF(J$5="A",Inputs_Actuals!J11,IF(Assumptions!J$201&lt;Contract_Register!$T$9,0,I11*(1+Contract_Register!$M$9*Assumptions!$F$178)*IF(AND(Assumptions!J$201&gt;Contract_Register!$T$9,MOD(Assumptions!J$201-Contract_Register!$T$9,Assumptions!$C$90)=0),Contract_Register!$S$9,1)))</f>
        <v>153</v>
      </c>
      <c r="K11" s="67" t="n">
        <f aca="false">IF(K$5="A",Inputs_Actuals!K11,IF(Assumptions!K$201&lt;Contract_Register!$T$9,0,J11*(1+Contract_Register!$M$9*Assumptions!$F$178)*IF(AND(Assumptions!K$201&gt;Contract_Register!$T$9,MOD(Assumptions!K$201-Contract_Register!$T$9,Assumptions!$C$90)=0),Contract_Register!$S$9,1)))</f>
        <v>153</v>
      </c>
      <c r="L11" s="67" t="n">
        <f aca="false">IF(L$5="A",Inputs_Actuals!L11,IF(Assumptions!L$201&lt;Contract_Register!$T$9,0,K11*(1+Contract_Register!$M$9*Assumptions!$F$178)*IF(AND(Assumptions!L$201&gt;Contract_Register!$T$9,MOD(Assumptions!L$201-Contract_Register!$T$9,Assumptions!$C$90)=0),Contract_Register!$S$9,1)))</f>
        <v>153</v>
      </c>
      <c r="M11" s="67" t="n">
        <f aca="false">IF(M$5="A",Inputs_Actuals!M11,IF(Assumptions!M$201&lt;Contract_Register!$T$9,0,L11*(1+Contract_Register!$M$9*Assumptions!$F$178)*IF(AND(Assumptions!M$201&gt;Contract_Register!$T$9,MOD(Assumptions!M$201-Contract_Register!$T$9,Assumptions!$C$90)=0),Contract_Register!$S$9,1)))</f>
        <v>153.153</v>
      </c>
      <c r="N11" s="67" t="n">
        <f aca="false">IF(N$5="A",Inputs_Actuals!N11,IF(Assumptions!N$201&lt;Contract_Register!$T$9,0,M11*(1+Contract_Register!$M$9*Assumptions!$F$178)*IF(AND(Assumptions!N$201&gt;Contract_Register!$T$9,MOD(Assumptions!N$201-Contract_Register!$T$9,Assumptions!$C$90)=0),Contract_Register!$S$9,1)))</f>
        <v>141.04166076</v>
      </c>
      <c r="O11" s="67" t="n">
        <f aca="false">IF(O$5="A",Inputs_Actuals!O11,IF(Assumptions!O$201&lt;Contract_Register!$T$9,0,N11*(1+Contract_Register!$M$9*Assumptions!$F$178)*IF(AND(Assumptions!O$201&gt;Contract_Register!$T$9,MOD(Assumptions!O$201-Contract_Register!$T$9,Assumptions!$C$90)=0),Contract_Register!$S$9,1)))</f>
        <v>141.18270242076</v>
      </c>
      <c r="P11" s="67" t="n">
        <f aca="false">IF(P$5="A",Inputs_Actuals!P11,IF(Assumptions!P$201&lt;Contract_Register!$T$9,0,O11*(1+Contract_Register!$M$9*Assumptions!$F$178)*IF(AND(Assumptions!P$201&gt;Contract_Register!$T$9,MOD(Assumptions!P$201-Contract_Register!$T$9,Assumptions!$C$90)=0),Contract_Register!$S$9,1)))</f>
        <v>141.323885123181</v>
      </c>
      <c r="Q11" s="67" t="n">
        <f aca="false">IF(Q$5="A",Inputs_Actuals!Q11,IF(Assumptions!Q$201&lt;Contract_Register!$T$9,0,P11*(1+Contract_Register!$M$9*Assumptions!$F$178)*IF(AND(Assumptions!Q$201&gt;Contract_Register!$T$9,MOD(Assumptions!Q$201-Contract_Register!$T$9,Assumptions!$C$90)=0),Contract_Register!$S$9,1)))</f>
        <v>141.465209008304</v>
      </c>
      <c r="R11" s="67" t="n">
        <f aca="false">IF(R$5="A",Inputs_Actuals!R11,IF(Assumptions!R$201&lt;Contract_Register!$T$9,0,Q11*(1+Contract_Register!$M$9*Assumptions!$F$178)*IF(AND(Assumptions!R$201&gt;Contract_Register!$T$9,MOD(Assumptions!R$201-Contract_Register!$T$9,Assumptions!$C$90)=0),Contract_Register!$S$9,1)))</f>
        <v>141.606674217312</v>
      </c>
      <c r="S11" s="67" t="n">
        <f aca="false">IF(S$5="A",Inputs_Actuals!S11,IF(Assumptions!S$201&lt;Contract_Register!$T$9,0,R11*(1+Contract_Register!$M$9*Assumptions!$F$178)*IF(AND(Assumptions!S$201&gt;Contract_Register!$T$9,MOD(Assumptions!S$201-Contract_Register!$T$9,Assumptions!$C$90)=0),Contract_Register!$S$9,1)))</f>
        <v>141.748280891529</v>
      </c>
      <c r="T11" s="67" t="n">
        <f aca="false">IF(T$5="A",Inputs_Actuals!T11,IF(Assumptions!T$201&lt;Contract_Register!$T$9,0,S11*(1+Contract_Register!$M$9*Assumptions!$F$178)*IF(AND(Assumptions!T$201&gt;Contract_Register!$T$9,MOD(Assumptions!T$201-Contract_Register!$T$9,Assumptions!$C$90)=0),Contract_Register!$S$9,1)))</f>
        <v>141.890029172421</v>
      </c>
      <c r="U11" s="67" t="n">
        <f aca="false">IF(U$5="A",Inputs_Actuals!U11,IF(Assumptions!U$201&lt;Contract_Register!$T$9,0,T11*(1+Contract_Register!$M$9*Assumptions!$F$178)*IF(AND(Assumptions!U$201&gt;Contract_Register!$T$9,MOD(Assumptions!U$201-Contract_Register!$T$9,Assumptions!$C$90)=0),Contract_Register!$S$9,1)))</f>
        <v>142.031919201593</v>
      </c>
      <c r="V11" s="67" t="n">
        <f aca="false">IF(V$5="A",Inputs_Actuals!V11,IF(Assumptions!V$201&lt;Contract_Register!$T$9,0,U11*(1+Contract_Register!$M$9*Assumptions!$F$178)*IF(AND(Assumptions!V$201&gt;Contract_Register!$T$9,MOD(Assumptions!V$201-Contract_Register!$T$9,Assumptions!$C$90)=0),Contract_Register!$S$9,1)))</f>
        <v>142.173951120795</v>
      </c>
      <c r="W11" s="67" t="n">
        <f aca="false">IF(W$5="A",Inputs_Actuals!W11,IF(Assumptions!W$201&lt;Contract_Register!$T$9,0,V11*(1+Contract_Register!$M$9*Assumptions!$F$178)*IF(AND(Assumptions!W$201&gt;Contract_Register!$T$9,MOD(Assumptions!W$201-Contract_Register!$T$9,Assumptions!$C$90)=0),Contract_Register!$S$9,1)))</f>
        <v>142.316125071916</v>
      </c>
      <c r="X11" s="67" t="n">
        <f aca="false">IF(X$5="A",Inputs_Actuals!X11,IF(Assumptions!X$201&lt;Contract_Register!$T$9,0,W11*(1+Contract_Register!$M$9*Assumptions!$F$178)*IF(AND(Assumptions!X$201&gt;Contract_Register!$T$9,MOD(Assumptions!X$201-Contract_Register!$T$9,Assumptions!$C$90)=0),Contract_Register!$S$9,1)))</f>
        <v>142.458441196988</v>
      </c>
      <c r="Y11" s="67" t="n">
        <f aca="false">IF(Y$5="A",Inputs_Actuals!Y11,IF(Assumptions!Y$201&lt;Contract_Register!$T$9,0,X11*(1+Contract_Register!$M$9*Assumptions!$F$178)*IF(AND(Assumptions!Y$201&gt;Contract_Register!$T$9,MOD(Assumptions!Y$201-Contract_Register!$T$9,Assumptions!$C$90)=0),Contract_Register!$S$9,1)))</f>
        <v>142.600899638185</v>
      </c>
      <c r="Z11" s="67" t="n">
        <f aca="false">IF(Z$5="A",Inputs_Actuals!Z11,IF(Assumptions!Z$201&lt;Contract_Register!$T$9,0,Y11*(1+Contract_Register!$M$9*Assumptions!$F$178)*IF(AND(Assumptions!Z$201&gt;Contract_Register!$T$9,MOD(Assumptions!Z$201-Contract_Register!$T$9,Assumptions!$C$90)=0),Contract_Register!$S$9,1)))</f>
        <v>142.743500537823</v>
      </c>
      <c r="AA11" s="67" t="n">
        <f aca="false">IF(AA$5="A",Inputs_Actuals!AA11,IF(Assumptions!AA$201&lt;Contract_Register!$T$9,0,Z11*(1+Contract_Register!$M$9*Assumptions!$F$178)*IF(AND(Assumptions!AA$201&gt;Contract_Register!$T$9,MOD(Assumptions!AA$201-Contract_Register!$T$9,Assumptions!$C$90)=0),Contract_Register!$S$9,1)))</f>
        <v>142.886244038361</v>
      </c>
      <c r="AB11" s="67" t="n">
        <f aca="false">IF(AB$5="A",Inputs_Actuals!AB11,IF(Assumptions!AB$201&lt;Contract_Register!$T$9,0,AA11*(1+Contract_Register!$M$9*Assumptions!$F$178)*IF(AND(Assumptions!AB$201&gt;Contract_Register!$T$9,MOD(Assumptions!AB$201-Contract_Register!$T$9,Assumptions!$C$90)=0),Contract_Register!$S$9,1)))</f>
        <v>143.029130282399</v>
      </c>
    </row>
    <row r="12" customFormat="false" ht="15" hidden="false" customHeight="false" outlineLevel="0" collapsed="false">
      <c r="A12" s="27" t="s">
        <v>777</v>
      </c>
      <c r="B12" s="63" t="s">
        <v>774</v>
      </c>
      <c r="C12" s="66" t="n">
        <f aca="false">P12</f>
        <v>96.770307073536</v>
      </c>
      <c r="D12" s="66" t="n">
        <f aca="false">AB12</f>
        <v>99.1185128889879</v>
      </c>
      <c r="E12" s="67" t="n">
        <f aca="false">IF(E$5="A",Inputs_Actuals!E12,IF(Assumptions!E$201&lt;Contract_Register!$T$10,0,Contract_Register!$I$10*(1+Contract_Register!$M$10*Assumptions!$F$178)*IF(AND(Assumptions!E$201&gt;Contract_Register!$T$10,MOD(Assumptions!E$201-Contract_Register!$T$10,Assumptions!$C$90)=0),Contract_Register!$S$10,1)))</f>
        <v>95</v>
      </c>
      <c r="F12" s="67" t="n">
        <f aca="false">IF(F$5="A",Inputs_Actuals!F12,IF(Assumptions!F$201&lt;Contract_Register!$T$10,0,E12*(1+Contract_Register!$M$10*Assumptions!$F$178)*IF(AND(Assumptions!F$201&gt;Contract_Register!$T$10,MOD(Assumptions!F$201-Contract_Register!$T$10,Assumptions!$C$90)=0),Contract_Register!$S$10,1)))</f>
        <v>95</v>
      </c>
      <c r="G12" s="67" t="n">
        <f aca="false">IF(G$5="A",Inputs_Actuals!G12,IF(Assumptions!G$201&lt;Contract_Register!$T$10,0,F12*(1+Contract_Register!$M$10*Assumptions!$F$178)*IF(AND(Assumptions!G$201&gt;Contract_Register!$T$10,MOD(Assumptions!G$201-Contract_Register!$T$10,Assumptions!$C$90)=0),Contract_Register!$S$10,1)))</f>
        <v>95</v>
      </c>
      <c r="H12" s="67" t="n">
        <f aca="false">IF(H$5="A",Inputs_Actuals!H12,IF(Assumptions!H$201&lt;Contract_Register!$T$10,0,G12*(1+Contract_Register!$M$10*Assumptions!$F$178)*IF(AND(Assumptions!H$201&gt;Contract_Register!$T$10,MOD(Assumptions!H$201-Contract_Register!$T$10,Assumptions!$C$90)=0),Contract_Register!$S$10,1)))</f>
        <v>96</v>
      </c>
      <c r="I12" s="67" t="n">
        <f aca="false">IF(I$5="A",Inputs_Actuals!I12,IF(Assumptions!I$201&lt;Contract_Register!$T$10,0,H12*(1+Contract_Register!$M$10*Assumptions!$F$178)*IF(AND(Assumptions!I$201&gt;Contract_Register!$T$10,MOD(Assumptions!I$201-Contract_Register!$T$10,Assumptions!$C$90)=0),Contract_Register!$S$10,1)))</f>
        <v>96</v>
      </c>
      <c r="J12" s="67" t="n">
        <f aca="false">IF(J$5="A",Inputs_Actuals!J12,IF(Assumptions!J$201&lt;Contract_Register!$T$10,0,I12*(1+Contract_Register!$M$10*Assumptions!$F$178)*IF(AND(Assumptions!J$201&gt;Contract_Register!$T$10,MOD(Assumptions!J$201-Contract_Register!$T$10,Assumptions!$C$90)=0),Contract_Register!$S$10,1)))</f>
        <v>96</v>
      </c>
      <c r="K12" s="67" t="n">
        <f aca="false">IF(K$5="A",Inputs_Actuals!K12,IF(Assumptions!K$201&lt;Contract_Register!$T$10,0,J12*(1+Contract_Register!$M$10*Assumptions!$F$178)*IF(AND(Assumptions!K$201&gt;Contract_Register!$T$10,MOD(Assumptions!K$201-Contract_Register!$T$10,Assumptions!$C$90)=0),Contract_Register!$S$10,1)))</f>
        <v>95</v>
      </c>
      <c r="L12" s="67" t="n">
        <f aca="false">IF(L$5="A",Inputs_Actuals!L12,IF(Assumptions!L$201&lt;Contract_Register!$T$10,0,K12*(1+Contract_Register!$M$10*Assumptions!$F$178)*IF(AND(Assumptions!L$201&gt;Contract_Register!$T$10,MOD(Assumptions!L$201-Contract_Register!$T$10,Assumptions!$C$90)=0),Contract_Register!$S$10,1)))</f>
        <v>96</v>
      </c>
      <c r="M12" s="67" t="n">
        <f aca="false">IF(M$5="A",Inputs_Actuals!M12,IF(Assumptions!M$201&lt;Contract_Register!$T$10,0,L12*(1+Contract_Register!$M$10*Assumptions!$F$178)*IF(AND(Assumptions!M$201&gt;Contract_Register!$T$10,MOD(Assumptions!M$201-Contract_Register!$T$10,Assumptions!$C$90)=0),Contract_Register!$S$10,1)))</f>
        <v>96.192</v>
      </c>
      <c r="N12" s="67" t="n">
        <f aca="false">IF(N$5="A",Inputs_Actuals!N12,IF(Assumptions!N$201&lt;Contract_Register!$T$10,0,M12*(1+Contract_Register!$M$10*Assumptions!$F$178)*IF(AND(Assumptions!N$201&gt;Contract_Register!$T$10,MOD(Assumptions!N$201-Contract_Register!$T$10,Assumptions!$C$90)=0),Contract_Register!$S$10,1)))</f>
        <v>96.384384</v>
      </c>
      <c r="O12" s="67" t="n">
        <f aca="false">IF(O$5="A",Inputs_Actuals!O12,IF(Assumptions!O$201&lt;Contract_Register!$T$10,0,N12*(1+Contract_Register!$M$10*Assumptions!$F$178)*IF(AND(Assumptions!O$201&gt;Contract_Register!$T$10,MOD(Assumptions!O$201-Contract_Register!$T$10,Assumptions!$C$90)=0),Contract_Register!$S$10,1)))</f>
        <v>96.577152768</v>
      </c>
      <c r="P12" s="67" t="n">
        <f aca="false">IF(P$5="A",Inputs_Actuals!P12,IF(Assumptions!P$201&lt;Contract_Register!$T$10,0,O12*(1+Contract_Register!$M$10*Assumptions!$F$178)*IF(AND(Assumptions!P$201&gt;Contract_Register!$T$10,MOD(Assumptions!P$201-Contract_Register!$T$10,Assumptions!$C$90)=0),Contract_Register!$S$10,1)))</f>
        <v>96.770307073536</v>
      </c>
      <c r="Q12" s="67" t="n">
        <f aca="false">IF(Q$5="A",Inputs_Actuals!Q12,IF(Assumptions!Q$201&lt;Contract_Register!$T$10,0,P12*(1+Contract_Register!$M$10*Assumptions!$F$178)*IF(AND(Assumptions!Q$201&gt;Contract_Register!$T$10,MOD(Assumptions!Q$201-Contract_Register!$T$10,Assumptions!$C$90)=0),Contract_Register!$S$10,1)))</f>
        <v>96.9638476876831</v>
      </c>
      <c r="R12" s="67" t="n">
        <f aca="false">IF(R$5="A",Inputs_Actuals!R12,IF(Assumptions!R$201&lt;Contract_Register!$T$10,0,Q12*(1+Contract_Register!$M$10*Assumptions!$F$178)*IF(AND(Assumptions!R$201&gt;Contract_Register!$T$10,MOD(Assumptions!R$201-Contract_Register!$T$10,Assumptions!$C$90)=0),Contract_Register!$S$10,1)))</f>
        <v>97.1577753830584</v>
      </c>
      <c r="S12" s="67" t="n">
        <f aca="false">IF(S$5="A",Inputs_Actuals!S12,IF(Assumptions!S$201&lt;Contract_Register!$T$10,0,R12*(1+Contract_Register!$M$10*Assumptions!$F$178)*IF(AND(Assumptions!S$201&gt;Contract_Register!$T$10,MOD(Assumptions!S$201-Contract_Register!$T$10,Assumptions!$C$90)=0),Contract_Register!$S$10,1)))</f>
        <v>97.3520909338246</v>
      </c>
      <c r="T12" s="67" t="n">
        <f aca="false">IF(T$5="A",Inputs_Actuals!T12,IF(Assumptions!T$201&lt;Contract_Register!$T$10,0,S12*(1+Contract_Register!$M$10*Assumptions!$F$178)*IF(AND(Assumptions!T$201&gt;Contract_Register!$T$10,MOD(Assumptions!T$201-Contract_Register!$T$10,Assumptions!$C$90)=0),Contract_Register!$S$10,1)))</f>
        <v>97.5467951156922</v>
      </c>
      <c r="U12" s="67" t="n">
        <f aca="false">IF(U$5="A",Inputs_Actuals!U12,IF(Assumptions!U$201&lt;Contract_Register!$T$10,0,T12*(1+Contract_Register!$M$10*Assumptions!$F$178)*IF(AND(Assumptions!U$201&gt;Contract_Register!$T$10,MOD(Assumptions!U$201-Contract_Register!$T$10,Assumptions!$C$90)=0),Contract_Register!$S$10,1)))</f>
        <v>97.7418887059236</v>
      </c>
      <c r="V12" s="67" t="n">
        <f aca="false">IF(V$5="A",Inputs_Actuals!V12,IF(Assumptions!V$201&lt;Contract_Register!$T$10,0,U12*(1+Contract_Register!$M$10*Assumptions!$F$178)*IF(AND(Assumptions!V$201&gt;Contract_Register!$T$10,MOD(Assumptions!V$201-Contract_Register!$T$10,Assumptions!$C$90)=0),Contract_Register!$S$10,1)))</f>
        <v>97.9373724833354</v>
      </c>
      <c r="W12" s="67" t="n">
        <f aca="false">IF(W$5="A",Inputs_Actuals!W12,IF(Assumptions!W$201&lt;Contract_Register!$T$10,0,V12*(1+Contract_Register!$M$10*Assumptions!$F$178)*IF(AND(Assumptions!W$201&gt;Contract_Register!$T$10,MOD(Assumptions!W$201-Contract_Register!$T$10,Assumptions!$C$90)=0),Contract_Register!$S$10,1)))</f>
        <v>98.1332472283021</v>
      </c>
      <c r="X12" s="67" t="n">
        <f aca="false">IF(X$5="A",Inputs_Actuals!X12,IF(Assumptions!X$201&lt;Contract_Register!$T$10,0,W12*(1+Contract_Register!$M$10*Assumptions!$F$178)*IF(AND(Assumptions!X$201&gt;Contract_Register!$T$10,MOD(Assumptions!X$201-Contract_Register!$T$10,Assumptions!$C$90)=0),Contract_Register!$S$10,1)))</f>
        <v>98.3295137227587</v>
      </c>
      <c r="Y12" s="67" t="n">
        <f aca="false">IF(Y$5="A",Inputs_Actuals!Y12,IF(Assumptions!Y$201&lt;Contract_Register!$T$10,0,X12*(1+Contract_Register!$M$10*Assumptions!$F$178)*IF(AND(Assumptions!Y$201&gt;Contract_Register!$T$10,MOD(Assumptions!Y$201-Contract_Register!$T$10,Assumptions!$C$90)=0),Contract_Register!$S$10,1)))</f>
        <v>98.5261727502042</v>
      </c>
      <c r="Z12" s="67" t="n">
        <f aca="false">IF(Z$5="A",Inputs_Actuals!Z12,IF(Assumptions!Z$201&lt;Contract_Register!$T$10,0,Y12*(1+Contract_Register!$M$10*Assumptions!$F$178)*IF(AND(Assumptions!Z$201&gt;Contract_Register!$T$10,MOD(Assumptions!Z$201-Contract_Register!$T$10,Assumptions!$C$90)=0),Contract_Register!$S$10,1)))</f>
        <v>98.7232250957047</v>
      </c>
      <c r="AA12" s="67" t="n">
        <f aca="false">IF(AA$5="A",Inputs_Actuals!AA12,IF(Assumptions!AA$201&lt;Contract_Register!$T$10,0,Z12*(1+Contract_Register!$M$10*Assumptions!$F$178)*IF(AND(Assumptions!AA$201&gt;Contract_Register!$T$10,MOD(Assumptions!AA$201-Contract_Register!$T$10,Assumptions!$C$90)=0),Contract_Register!$S$10,1)))</f>
        <v>98.9206715458961</v>
      </c>
      <c r="AB12" s="67" t="n">
        <f aca="false">IF(AB$5="A",Inputs_Actuals!AB12,IF(Assumptions!AB$201&lt;Contract_Register!$T$10,0,AA12*(1+Contract_Register!$M$10*Assumptions!$F$178)*IF(AND(Assumptions!AB$201&gt;Contract_Register!$T$10,MOD(Assumptions!AB$201-Contract_Register!$T$10,Assumptions!$C$90)=0),Contract_Register!$S$10,1)))</f>
        <v>99.1185128889879</v>
      </c>
    </row>
    <row r="13" customFormat="false" ht="15" hidden="false" customHeight="false" outlineLevel="0" collapsed="false">
      <c r="A13" s="27" t="s">
        <v>778</v>
      </c>
      <c r="B13" s="63" t="s">
        <v>774</v>
      </c>
      <c r="C13" s="66" t="n">
        <f aca="false">P13</f>
        <v>316.519546053024</v>
      </c>
      <c r="D13" s="66" t="n">
        <f aca="false">AB13</f>
        <v>301.50612639419</v>
      </c>
      <c r="E13" s="67" t="n">
        <f aca="false">IF(E$5="A",Inputs_Actuals!E13,IF(Assumptions!E$201&lt;Contract_Register!$T$11,0,Contract_Register!$I$11*(1+Contract_Register!$M$11*Assumptions!$F$178)*IF(AND(Assumptions!E$201&gt;Contract_Register!$T$11,MOD(Assumptions!E$201-Contract_Register!$T$11,Assumptions!$C$90)=0),Contract_Register!$S$11,1)))</f>
        <v>311</v>
      </c>
      <c r="F13" s="67" t="n">
        <f aca="false">IF(F$5="A",Inputs_Actuals!F13,IF(Assumptions!F$201&lt;Contract_Register!$T$11,0,E13*(1+Contract_Register!$M$11*Assumptions!$F$178)*IF(AND(Assumptions!F$201&gt;Contract_Register!$T$11,MOD(Assumptions!F$201-Contract_Register!$T$11,Assumptions!$C$90)=0),Contract_Register!$S$11,1)))</f>
        <v>312</v>
      </c>
      <c r="G13" s="67" t="n">
        <f aca="false">IF(G$5="A",Inputs_Actuals!G13,IF(Assumptions!G$201&lt;Contract_Register!$T$11,0,F13*(1+Contract_Register!$M$11*Assumptions!$F$178)*IF(AND(Assumptions!G$201&gt;Contract_Register!$T$11,MOD(Assumptions!G$201-Contract_Register!$T$11,Assumptions!$C$90)=0),Contract_Register!$S$11,1)))</f>
        <v>312</v>
      </c>
      <c r="H13" s="67" t="n">
        <f aca="false">IF(H$5="A",Inputs_Actuals!H13,IF(Assumptions!H$201&lt;Contract_Register!$T$11,0,G13*(1+Contract_Register!$M$11*Assumptions!$F$178)*IF(AND(Assumptions!H$201&gt;Contract_Register!$T$11,MOD(Assumptions!H$201-Contract_Register!$T$11,Assumptions!$C$90)=0),Contract_Register!$S$11,1)))</f>
        <v>312</v>
      </c>
      <c r="I13" s="67" t="n">
        <f aca="false">IF(I$5="A",Inputs_Actuals!I13,IF(Assumptions!I$201&lt;Contract_Register!$T$11,0,H13*(1+Contract_Register!$M$11*Assumptions!$F$178)*IF(AND(Assumptions!I$201&gt;Contract_Register!$T$11,MOD(Assumptions!I$201-Contract_Register!$T$11,Assumptions!$C$90)=0),Contract_Register!$S$11,1)))</f>
        <v>312</v>
      </c>
      <c r="J13" s="67" t="n">
        <f aca="false">IF(J$5="A",Inputs_Actuals!J13,IF(Assumptions!J$201&lt;Contract_Register!$T$11,0,I13*(1+Contract_Register!$M$11*Assumptions!$F$178)*IF(AND(Assumptions!J$201&gt;Contract_Register!$T$11,MOD(Assumptions!J$201-Contract_Register!$T$11,Assumptions!$C$90)=0),Contract_Register!$S$11,1)))</f>
        <v>312</v>
      </c>
      <c r="K13" s="67" t="n">
        <f aca="false">IF(K$5="A",Inputs_Actuals!K13,IF(Assumptions!K$201&lt;Contract_Register!$T$11,0,J13*(1+Contract_Register!$M$11*Assumptions!$F$178)*IF(AND(Assumptions!K$201&gt;Contract_Register!$T$11,MOD(Assumptions!K$201-Contract_Register!$T$11,Assumptions!$C$90)=0),Contract_Register!$S$11,1)))</f>
        <v>313</v>
      </c>
      <c r="L13" s="67" t="n">
        <f aca="false">IF(L$5="A",Inputs_Actuals!L13,IF(Assumptions!L$201&lt;Contract_Register!$T$11,0,K13*(1+Contract_Register!$M$11*Assumptions!$F$178)*IF(AND(Assumptions!L$201&gt;Contract_Register!$T$11,MOD(Assumptions!L$201-Contract_Register!$T$11,Assumptions!$C$90)=0),Contract_Register!$S$11,1)))</f>
        <v>314</v>
      </c>
      <c r="M13" s="67" t="n">
        <f aca="false">IF(M$5="A",Inputs_Actuals!M13,IF(Assumptions!M$201&lt;Contract_Register!$T$11,0,L13*(1+Contract_Register!$M$11*Assumptions!$F$178)*IF(AND(Assumptions!M$201&gt;Contract_Register!$T$11,MOD(Assumptions!M$201-Contract_Register!$T$11,Assumptions!$C$90)=0),Contract_Register!$S$11,1)))</f>
        <v>314.628</v>
      </c>
      <c r="N13" s="67" t="n">
        <f aca="false">IF(N$5="A",Inputs_Actuals!N13,IF(Assumptions!N$201&lt;Contract_Register!$T$11,0,M13*(1+Contract_Register!$M$11*Assumptions!$F$178)*IF(AND(Assumptions!N$201&gt;Contract_Register!$T$11,MOD(Assumptions!N$201-Contract_Register!$T$11,Assumptions!$C$90)=0),Contract_Register!$S$11,1)))</f>
        <v>315.257256</v>
      </c>
      <c r="O13" s="67" t="n">
        <f aca="false">IF(O$5="A",Inputs_Actuals!O13,IF(Assumptions!O$201&lt;Contract_Register!$T$11,0,N13*(1+Contract_Register!$M$11*Assumptions!$F$178)*IF(AND(Assumptions!O$201&gt;Contract_Register!$T$11,MOD(Assumptions!O$201-Contract_Register!$T$11,Assumptions!$C$90)=0),Contract_Register!$S$11,1)))</f>
        <v>315.887770512</v>
      </c>
      <c r="P13" s="67" t="n">
        <f aca="false">IF(P$5="A",Inputs_Actuals!P13,IF(Assumptions!P$201&lt;Contract_Register!$T$11,0,O13*(1+Contract_Register!$M$11*Assumptions!$F$178)*IF(AND(Assumptions!P$201&gt;Contract_Register!$T$11,MOD(Assumptions!P$201-Contract_Register!$T$11,Assumptions!$C$90)=0),Contract_Register!$S$11,1)))</f>
        <v>316.519546053024</v>
      </c>
      <c r="Q13" s="67" t="n">
        <f aca="false">IF(Q$5="A",Inputs_Actuals!Q13,IF(Assumptions!Q$201&lt;Contract_Register!$T$11,0,P13*(1+Contract_Register!$M$11*Assumptions!$F$178)*IF(AND(Assumptions!Q$201&gt;Contract_Register!$T$11,MOD(Assumptions!Q$201-Contract_Register!$T$11,Assumptions!$C$90)=0),Contract_Register!$S$11,1)))</f>
        <v>317.15258514513</v>
      </c>
      <c r="R13" s="67" t="n">
        <f aca="false">IF(R$5="A",Inputs_Actuals!R13,IF(Assumptions!R$201&lt;Contract_Register!$T$11,0,Q13*(1+Contract_Register!$M$11*Assumptions!$F$178)*IF(AND(Assumptions!R$201&gt;Contract_Register!$T$11,MOD(Assumptions!R$201-Contract_Register!$T$11,Assumptions!$C$90)=0),Contract_Register!$S$11,1)))</f>
        <v>317.78689031542</v>
      </c>
      <c r="S13" s="67" t="n">
        <f aca="false">IF(S$5="A",Inputs_Actuals!S13,IF(Assumptions!S$201&lt;Contract_Register!$T$11,0,R13*(1+Contract_Register!$M$11*Assumptions!$F$178)*IF(AND(Assumptions!S$201&gt;Contract_Register!$T$11,MOD(Assumptions!S$201-Contract_Register!$T$11,Assumptions!$C$90)=0),Contract_Register!$S$11,1)))</f>
        <v>318.422464096051</v>
      </c>
      <c r="T13" s="67" t="n">
        <f aca="false">IF(T$5="A",Inputs_Actuals!T13,IF(Assumptions!T$201&lt;Contract_Register!$T$11,0,S13*(1+Contract_Register!$M$11*Assumptions!$F$178)*IF(AND(Assumptions!T$201&gt;Contract_Register!$T$11,MOD(Assumptions!T$201-Contract_Register!$T$11,Assumptions!$C$90)=0),Contract_Register!$S$11,1)))</f>
        <v>319.059309024243</v>
      </c>
      <c r="U13" s="67" t="n">
        <f aca="false">IF(U$5="A",Inputs_Actuals!U13,IF(Assumptions!U$201&lt;Contract_Register!$T$11,0,T13*(1+Contract_Register!$M$11*Assumptions!$F$178)*IF(AND(Assumptions!U$201&gt;Contract_Register!$T$11,MOD(Assumptions!U$201-Contract_Register!$T$11,Assumptions!$C$90)=0),Contract_Register!$S$11,1)))</f>
        <v>319.697427642292</v>
      </c>
      <c r="V13" s="67" t="n">
        <f aca="false">IF(V$5="A",Inputs_Actuals!V13,IF(Assumptions!V$201&lt;Contract_Register!$T$11,0,U13*(1+Contract_Register!$M$11*Assumptions!$F$178)*IF(AND(Assumptions!V$201&gt;Contract_Register!$T$11,MOD(Assumptions!V$201-Contract_Register!$T$11,Assumptions!$C$90)=0),Contract_Register!$S$11,1)))</f>
        <v>320.336822497576</v>
      </c>
      <c r="W13" s="67" t="n">
        <f aca="false">IF(W$5="A",Inputs_Actuals!W13,IF(Assumptions!W$201&lt;Contract_Register!$T$11,0,V13*(1+Contract_Register!$M$11*Assumptions!$F$178)*IF(AND(Assumptions!W$201&gt;Contract_Register!$T$11,MOD(Assumptions!W$201-Contract_Register!$T$11,Assumptions!$C$90)=0),Contract_Register!$S$11,1)))</f>
        <v>320.977496142572</v>
      </c>
      <c r="X13" s="67" t="n">
        <f aca="false">IF(X$5="A",Inputs_Actuals!X13,IF(Assumptions!X$201&lt;Contract_Register!$T$11,0,W13*(1+Contract_Register!$M$11*Assumptions!$F$178)*IF(AND(Assumptions!X$201&gt;Contract_Register!$T$11,MOD(Assumptions!X$201-Contract_Register!$T$11,Assumptions!$C$90)=0),Contract_Register!$S$11,1)))</f>
        <v>299.106089555417</v>
      </c>
      <c r="Y13" s="67" t="n">
        <f aca="false">IF(Y$5="A",Inputs_Actuals!Y13,IF(Assumptions!Y$201&lt;Contract_Register!$T$11,0,X13*(1+Contract_Register!$M$11*Assumptions!$F$178)*IF(AND(Assumptions!Y$201&gt;Contract_Register!$T$11,MOD(Assumptions!Y$201-Contract_Register!$T$11,Assumptions!$C$90)=0),Contract_Register!$S$11,1)))</f>
        <v>299.704301734528</v>
      </c>
      <c r="Z13" s="67" t="n">
        <f aca="false">IF(Z$5="A",Inputs_Actuals!Z13,IF(Assumptions!Z$201&lt;Contract_Register!$T$11,0,Y13*(1+Contract_Register!$M$11*Assumptions!$F$178)*IF(AND(Assumptions!Z$201&gt;Contract_Register!$T$11,MOD(Assumptions!Z$201-Contract_Register!$T$11,Assumptions!$C$90)=0),Contract_Register!$S$11,1)))</f>
        <v>300.303710337997</v>
      </c>
      <c r="AA13" s="67" t="n">
        <f aca="false">IF(AA$5="A",Inputs_Actuals!AA13,IF(Assumptions!AA$201&lt;Contract_Register!$T$11,0,Z13*(1+Contract_Register!$M$11*Assumptions!$F$178)*IF(AND(Assumptions!AA$201&gt;Contract_Register!$T$11,MOD(Assumptions!AA$201-Contract_Register!$T$11,Assumptions!$C$90)=0),Contract_Register!$S$11,1)))</f>
        <v>300.904317758673</v>
      </c>
      <c r="AB13" s="67" t="n">
        <f aca="false">IF(AB$5="A",Inputs_Actuals!AB13,IF(Assumptions!AB$201&lt;Contract_Register!$T$11,0,AA13*(1+Contract_Register!$M$11*Assumptions!$F$178)*IF(AND(Assumptions!AB$201&gt;Contract_Register!$T$11,MOD(Assumptions!AB$201-Contract_Register!$T$11,Assumptions!$C$90)=0),Contract_Register!$S$11,1)))</f>
        <v>301.50612639419</v>
      </c>
    </row>
    <row r="14" customFormat="false" ht="15" hidden="false" customHeight="false" outlineLevel="0" collapsed="false">
      <c r="A14" s="27" t="s">
        <v>779</v>
      </c>
      <c r="B14" s="63" t="s">
        <v>774</v>
      </c>
      <c r="C14" s="66" t="n">
        <f aca="false">P14</f>
        <v>122.488732488122</v>
      </c>
      <c r="D14" s="66" t="n">
        <f aca="false">AB14</f>
        <v>123.966708542574</v>
      </c>
      <c r="E14" s="67" t="n">
        <f aca="false">IF(E$5="A",Inputs_Actuals!E14,IF(Assumptions!E$201&lt;Contract_Register!$T$12,0,Contract_Register!$I$12*(1+Contract_Register!$M$12*Assumptions!$F$178)*IF(AND(Assumptions!E$201&gt;Contract_Register!$T$12,MOD(Assumptions!E$201-Contract_Register!$T$12,Assumptions!$C$90)=0),Contract_Register!$S$12,1)))</f>
        <v>121</v>
      </c>
      <c r="F14" s="67" t="n">
        <f aca="false">IF(F$5="A",Inputs_Actuals!F14,IF(Assumptions!F$201&lt;Contract_Register!$T$12,0,E14*(1+Contract_Register!$M$12*Assumptions!$F$178)*IF(AND(Assumptions!F$201&gt;Contract_Register!$T$12,MOD(Assumptions!F$201-Contract_Register!$T$12,Assumptions!$C$90)=0),Contract_Register!$S$12,1)))</f>
        <v>121</v>
      </c>
      <c r="G14" s="67" t="n">
        <f aca="false">IF(G$5="A",Inputs_Actuals!G14,IF(Assumptions!G$201&lt;Contract_Register!$T$12,0,F14*(1+Contract_Register!$M$12*Assumptions!$F$178)*IF(AND(Assumptions!G$201&gt;Contract_Register!$T$12,MOD(Assumptions!G$201-Contract_Register!$T$12,Assumptions!$C$90)=0),Contract_Register!$S$12,1)))</f>
        <v>122</v>
      </c>
      <c r="H14" s="67" t="n">
        <f aca="false">IF(H$5="A",Inputs_Actuals!H14,IF(Assumptions!H$201&lt;Contract_Register!$T$12,0,G14*(1+Contract_Register!$M$12*Assumptions!$F$178)*IF(AND(Assumptions!H$201&gt;Contract_Register!$T$12,MOD(Assumptions!H$201-Contract_Register!$T$12,Assumptions!$C$90)=0),Contract_Register!$S$12,1)))</f>
        <v>122</v>
      </c>
      <c r="I14" s="67" t="n">
        <f aca="false">IF(I$5="A",Inputs_Actuals!I14,IF(Assumptions!I$201&lt;Contract_Register!$T$12,0,H14*(1+Contract_Register!$M$12*Assumptions!$F$178)*IF(AND(Assumptions!I$201&gt;Contract_Register!$T$12,MOD(Assumptions!I$201-Contract_Register!$T$12,Assumptions!$C$90)=0),Contract_Register!$S$12,1)))</f>
        <v>121</v>
      </c>
      <c r="J14" s="67" t="n">
        <f aca="false">IF(J$5="A",Inputs_Actuals!J14,IF(Assumptions!J$201&lt;Contract_Register!$T$12,0,I14*(1+Contract_Register!$M$12*Assumptions!$F$178)*IF(AND(Assumptions!J$201&gt;Contract_Register!$T$12,MOD(Assumptions!J$201-Contract_Register!$T$12,Assumptions!$C$90)=0),Contract_Register!$S$12,1)))</f>
        <v>122</v>
      </c>
      <c r="K14" s="67" t="n">
        <f aca="false">IF(K$5="A",Inputs_Actuals!K14,IF(Assumptions!K$201&lt;Contract_Register!$T$12,0,J14*(1+Contract_Register!$M$12*Assumptions!$F$178)*IF(AND(Assumptions!K$201&gt;Contract_Register!$T$12,MOD(Assumptions!K$201-Contract_Register!$T$12,Assumptions!$C$90)=0),Contract_Register!$S$12,1)))</f>
        <v>122</v>
      </c>
      <c r="L14" s="67" t="n">
        <f aca="false">IF(L$5="A",Inputs_Actuals!L14,IF(Assumptions!L$201&lt;Contract_Register!$T$12,0,K14*(1+Contract_Register!$M$12*Assumptions!$F$178)*IF(AND(Assumptions!L$201&gt;Contract_Register!$T$12,MOD(Assumptions!L$201-Contract_Register!$T$12,Assumptions!$C$90)=0),Contract_Register!$S$12,1)))</f>
        <v>122</v>
      </c>
      <c r="M14" s="67" t="n">
        <f aca="false">IF(M$5="A",Inputs_Actuals!M14,IF(Assumptions!M$201&lt;Contract_Register!$T$12,0,L14*(1+Contract_Register!$M$12*Assumptions!$F$178)*IF(AND(Assumptions!M$201&gt;Contract_Register!$T$12,MOD(Assumptions!M$201-Contract_Register!$T$12,Assumptions!$C$90)=0),Contract_Register!$S$12,1)))</f>
        <v>122.122</v>
      </c>
      <c r="N14" s="67" t="n">
        <f aca="false">IF(N$5="A",Inputs_Actuals!N14,IF(Assumptions!N$201&lt;Contract_Register!$T$12,0,M14*(1+Contract_Register!$M$12*Assumptions!$F$178)*IF(AND(Assumptions!N$201&gt;Contract_Register!$T$12,MOD(Assumptions!N$201-Contract_Register!$T$12,Assumptions!$C$90)=0),Contract_Register!$S$12,1)))</f>
        <v>122.244122</v>
      </c>
      <c r="O14" s="67" t="n">
        <f aca="false">IF(O$5="A",Inputs_Actuals!O14,IF(Assumptions!O$201&lt;Contract_Register!$T$12,0,N14*(1+Contract_Register!$M$12*Assumptions!$F$178)*IF(AND(Assumptions!O$201&gt;Contract_Register!$T$12,MOD(Assumptions!O$201-Contract_Register!$T$12,Assumptions!$C$90)=0),Contract_Register!$S$12,1)))</f>
        <v>122.366366122</v>
      </c>
      <c r="P14" s="67" t="n">
        <f aca="false">IF(P$5="A",Inputs_Actuals!P14,IF(Assumptions!P$201&lt;Contract_Register!$T$12,0,O14*(1+Contract_Register!$M$12*Assumptions!$F$178)*IF(AND(Assumptions!P$201&gt;Contract_Register!$T$12,MOD(Assumptions!P$201-Contract_Register!$T$12,Assumptions!$C$90)=0),Contract_Register!$S$12,1)))</f>
        <v>122.488732488122</v>
      </c>
      <c r="Q14" s="67" t="n">
        <f aca="false">IF(Q$5="A",Inputs_Actuals!Q14,IF(Assumptions!Q$201&lt;Contract_Register!$T$12,0,P14*(1+Contract_Register!$M$12*Assumptions!$F$178)*IF(AND(Assumptions!Q$201&gt;Contract_Register!$T$12,MOD(Assumptions!Q$201-Contract_Register!$T$12,Assumptions!$C$90)=0),Contract_Register!$S$12,1)))</f>
        <v>122.61122122061</v>
      </c>
      <c r="R14" s="67" t="n">
        <f aca="false">IF(R$5="A",Inputs_Actuals!R14,IF(Assumptions!R$201&lt;Contract_Register!$T$12,0,Q14*(1+Contract_Register!$M$12*Assumptions!$F$178)*IF(AND(Assumptions!R$201&gt;Contract_Register!$T$12,MOD(Assumptions!R$201-Contract_Register!$T$12,Assumptions!$C$90)=0),Contract_Register!$S$12,1)))</f>
        <v>122.733832441831</v>
      </c>
      <c r="S14" s="67" t="n">
        <f aca="false">IF(S$5="A",Inputs_Actuals!S14,IF(Assumptions!S$201&lt;Contract_Register!$T$12,0,R14*(1+Contract_Register!$M$12*Assumptions!$F$178)*IF(AND(Assumptions!S$201&gt;Contract_Register!$T$12,MOD(Assumptions!S$201-Contract_Register!$T$12,Assumptions!$C$90)=0),Contract_Register!$S$12,1)))</f>
        <v>122.856566274272</v>
      </c>
      <c r="T14" s="67" t="n">
        <f aca="false">IF(T$5="A",Inputs_Actuals!T14,IF(Assumptions!T$201&lt;Contract_Register!$T$12,0,S14*(1+Contract_Register!$M$12*Assumptions!$F$178)*IF(AND(Assumptions!T$201&gt;Contract_Register!$T$12,MOD(Assumptions!T$201-Contract_Register!$T$12,Assumptions!$C$90)=0),Contract_Register!$S$12,1)))</f>
        <v>122.979422840547</v>
      </c>
      <c r="U14" s="67" t="n">
        <f aca="false">IF(U$5="A",Inputs_Actuals!U14,IF(Assumptions!U$201&lt;Contract_Register!$T$12,0,T14*(1+Contract_Register!$M$12*Assumptions!$F$178)*IF(AND(Assumptions!U$201&gt;Contract_Register!$T$12,MOD(Assumptions!U$201-Contract_Register!$T$12,Assumptions!$C$90)=0),Contract_Register!$S$12,1)))</f>
        <v>123.102402263387</v>
      </c>
      <c r="V14" s="67" t="n">
        <f aca="false">IF(V$5="A",Inputs_Actuals!V14,IF(Assumptions!V$201&lt;Contract_Register!$T$12,0,U14*(1+Contract_Register!$M$12*Assumptions!$F$178)*IF(AND(Assumptions!V$201&gt;Contract_Register!$T$12,MOD(Assumptions!V$201-Contract_Register!$T$12,Assumptions!$C$90)=0),Contract_Register!$S$12,1)))</f>
        <v>123.225504665651</v>
      </c>
      <c r="W14" s="67" t="n">
        <f aca="false">IF(W$5="A",Inputs_Actuals!W14,IF(Assumptions!W$201&lt;Contract_Register!$T$12,0,V14*(1+Contract_Register!$M$12*Assumptions!$F$178)*IF(AND(Assumptions!W$201&gt;Contract_Register!$T$12,MOD(Assumptions!W$201-Contract_Register!$T$12,Assumptions!$C$90)=0),Contract_Register!$S$12,1)))</f>
        <v>123.348730170316</v>
      </c>
      <c r="X14" s="67" t="n">
        <f aca="false">IF(X$5="A",Inputs_Actuals!X14,IF(Assumptions!X$201&lt;Contract_Register!$T$12,0,W14*(1+Contract_Register!$M$12*Assumptions!$F$178)*IF(AND(Assumptions!X$201&gt;Contract_Register!$T$12,MOD(Assumptions!X$201-Contract_Register!$T$12,Assumptions!$C$90)=0),Contract_Register!$S$12,1)))</f>
        <v>123.472078900487</v>
      </c>
      <c r="Y14" s="67" t="n">
        <f aca="false">IF(Y$5="A",Inputs_Actuals!Y14,IF(Assumptions!Y$201&lt;Contract_Register!$T$12,0,X14*(1+Contract_Register!$M$12*Assumptions!$F$178)*IF(AND(Assumptions!Y$201&gt;Contract_Register!$T$12,MOD(Assumptions!Y$201-Contract_Register!$T$12,Assumptions!$C$90)=0),Contract_Register!$S$12,1)))</f>
        <v>123.595550979387</v>
      </c>
      <c r="Z14" s="67" t="n">
        <f aca="false">IF(Z$5="A",Inputs_Actuals!Z14,IF(Assumptions!Z$201&lt;Contract_Register!$T$12,0,Y14*(1+Contract_Register!$M$12*Assumptions!$F$178)*IF(AND(Assumptions!Z$201&gt;Contract_Register!$T$12,MOD(Assumptions!Z$201-Contract_Register!$T$12,Assumptions!$C$90)=0),Contract_Register!$S$12,1)))</f>
        <v>123.719146530366</v>
      </c>
      <c r="AA14" s="67" t="n">
        <f aca="false">IF(AA$5="A",Inputs_Actuals!AA14,IF(Assumptions!AA$201&lt;Contract_Register!$T$12,0,Z14*(1+Contract_Register!$M$12*Assumptions!$F$178)*IF(AND(Assumptions!AA$201&gt;Contract_Register!$T$12,MOD(Assumptions!AA$201-Contract_Register!$T$12,Assumptions!$C$90)=0),Contract_Register!$S$12,1)))</f>
        <v>123.842865676897</v>
      </c>
      <c r="AB14" s="67" t="n">
        <f aca="false">IF(AB$5="A",Inputs_Actuals!AB14,IF(Assumptions!AB$201&lt;Contract_Register!$T$12,0,AA14*(1+Contract_Register!$M$12*Assumptions!$F$178)*IF(AND(Assumptions!AB$201&gt;Contract_Register!$T$12,MOD(Assumptions!AB$201-Contract_Register!$T$12,Assumptions!$C$90)=0),Contract_Register!$S$12,1)))</f>
        <v>123.966708542574</v>
      </c>
    </row>
    <row r="15" customFormat="false" ht="15" hidden="false" customHeight="false" outlineLevel="0" collapsed="false">
      <c r="A15" s="27" t="s">
        <v>780</v>
      </c>
      <c r="B15" s="63" t="s">
        <v>774</v>
      </c>
      <c r="C15" s="66" t="n">
        <f aca="false">P15</f>
        <v>89.060761511128</v>
      </c>
      <c r="D15" s="66" t="n">
        <f aca="false">AB15</f>
        <v>85.8579567729994</v>
      </c>
      <c r="E15" s="67" t="n">
        <f aca="false">IF(E$5="A",Inputs_Actuals!E15,IF(Assumptions!E$201&lt;Contract_Register!$T$13,0,Contract_Register!$I$13*(1+Contract_Register!$M$13*Assumptions!$F$178)*IF(AND(Assumptions!E$201&gt;Contract_Register!$T$13,MOD(Assumptions!E$201-Contract_Register!$T$13,Assumptions!$C$90)=0),Contract_Register!$S$13,1)))</f>
        <v>86</v>
      </c>
      <c r="F15" s="67" t="n">
        <f aca="false">IF(F$5="A",Inputs_Actuals!F15,IF(Assumptions!F$201&lt;Contract_Register!$T$13,0,E15*(1+Contract_Register!$M$13*Assumptions!$F$178)*IF(AND(Assumptions!F$201&gt;Contract_Register!$T$13,MOD(Assumptions!F$201-Contract_Register!$T$13,Assumptions!$C$90)=0),Contract_Register!$S$13,1)))</f>
        <v>86</v>
      </c>
      <c r="G15" s="67" t="n">
        <f aca="false">IF(G$5="A",Inputs_Actuals!G15,IF(Assumptions!G$201&lt;Contract_Register!$T$13,0,F15*(1+Contract_Register!$M$13*Assumptions!$F$178)*IF(AND(Assumptions!G$201&gt;Contract_Register!$T$13,MOD(Assumptions!G$201-Contract_Register!$T$13,Assumptions!$C$90)=0),Contract_Register!$S$13,1)))</f>
        <v>87</v>
      </c>
      <c r="H15" s="67" t="n">
        <f aca="false">IF(H$5="A",Inputs_Actuals!H15,IF(Assumptions!H$201&lt;Contract_Register!$T$13,0,G15*(1+Contract_Register!$M$13*Assumptions!$F$178)*IF(AND(Assumptions!H$201&gt;Contract_Register!$T$13,MOD(Assumptions!H$201-Contract_Register!$T$13,Assumptions!$C$90)=0),Contract_Register!$S$13,1)))</f>
        <v>87</v>
      </c>
      <c r="I15" s="67" t="n">
        <f aca="false">IF(I$5="A",Inputs_Actuals!I15,IF(Assumptions!I$201&lt;Contract_Register!$T$13,0,H15*(1+Contract_Register!$M$13*Assumptions!$F$178)*IF(AND(Assumptions!I$201&gt;Contract_Register!$T$13,MOD(Assumptions!I$201-Contract_Register!$T$13,Assumptions!$C$90)=0),Contract_Register!$S$13,1)))</f>
        <v>87</v>
      </c>
      <c r="J15" s="67" t="n">
        <f aca="false">IF(J$5="A",Inputs_Actuals!J15,IF(Assumptions!J$201&lt;Contract_Register!$T$13,0,I15*(1+Contract_Register!$M$13*Assumptions!$F$178)*IF(AND(Assumptions!J$201&gt;Contract_Register!$T$13,MOD(Assumptions!J$201-Contract_Register!$T$13,Assumptions!$C$90)=0),Contract_Register!$S$13,1)))</f>
        <v>87</v>
      </c>
      <c r="K15" s="67" t="n">
        <f aca="false">IF(K$5="A",Inputs_Actuals!K15,IF(Assumptions!K$201&lt;Contract_Register!$T$13,0,J15*(1+Contract_Register!$M$13*Assumptions!$F$178)*IF(AND(Assumptions!K$201&gt;Contract_Register!$T$13,MOD(Assumptions!K$201-Contract_Register!$T$13,Assumptions!$C$90)=0),Contract_Register!$S$13,1)))</f>
        <v>88</v>
      </c>
      <c r="L15" s="67" t="n">
        <f aca="false">IF(L$5="A",Inputs_Actuals!L15,IF(Assumptions!L$201&lt;Contract_Register!$T$13,0,K15*(1+Contract_Register!$M$13*Assumptions!$F$178)*IF(AND(Assumptions!L$201&gt;Contract_Register!$T$13,MOD(Assumptions!L$201-Contract_Register!$T$13,Assumptions!$C$90)=0),Contract_Register!$S$13,1)))</f>
        <v>88</v>
      </c>
      <c r="M15" s="67" t="n">
        <f aca="false">IF(M$5="A",Inputs_Actuals!M15,IF(Assumptions!M$201&lt;Contract_Register!$T$13,0,L15*(1+Contract_Register!$M$13*Assumptions!$F$178)*IF(AND(Assumptions!M$201&gt;Contract_Register!$T$13,MOD(Assumptions!M$201-Contract_Register!$T$13,Assumptions!$C$90)=0),Contract_Register!$S$13,1)))</f>
        <v>88.264</v>
      </c>
      <c r="N15" s="67" t="n">
        <f aca="false">IF(N$5="A",Inputs_Actuals!N15,IF(Assumptions!N$201&lt;Contract_Register!$T$13,0,M15*(1+Contract_Register!$M$13*Assumptions!$F$178)*IF(AND(Assumptions!N$201&gt;Contract_Register!$T$13,MOD(Assumptions!N$201-Contract_Register!$T$13,Assumptions!$C$90)=0),Contract_Register!$S$13,1)))</f>
        <v>88.528792</v>
      </c>
      <c r="O15" s="67" t="n">
        <f aca="false">IF(O$5="A",Inputs_Actuals!O15,IF(Assumptions!O$201&lt;Contract_Register!$T$13,0,N15*(1+Contract_Register!$M$13*Assumptions!$F$178)*IF(AND(Assumptions!O$201&gt;Contract_Register!$T$13,MOD(Assumptions!O$201-Contract_Register!$T$13,Assumptions!$C$90)=0),Contract_Register!$S$13,1)))</f>
        <v>88.794378376</v>
      </c>
      <c r="P15" s="67" t="n">
        <f aca="false">IF(P$5="A",Inputs_Actuals!P15,IF(Assumptions!P$201&lt;Contract_Register!$T$13,0,O15*(1+Contract_Register!$M$13*Assumptions!$F$178)*IF(AND(Assumptions!P$201&gt;Contract_Register!$T$13,MOD(Assumptions!P$201-Contract_Register!$T$13,Assumptions!$C$90)=0),Contract_Register!$S$13,1)))</f>
        <v>89.060761511128</v>
      </c>
      <c r="Q15" s="67" t="n">
        <f aca="false">IF(Q$5="A",Inputs_Actuals!Q15,IF(Assumptions!Q$201&lt;Contract_Register!$T$13,0,P15*(1+Contract_Register!$M$13*Assumptions!$F$178)*IF(AND(Assumptions!Q$201&gt;Contract_Register!$T$13,MOD(Assumptions!Q$201-Contract_Register!$T$13,Assumptions!$C$90)=0),Contract_Register!$S$13,1)))</f>
        <v>89.3279437956613</v>
      </c>
      <c r="R15" s="67" t="n">
        <f aca="false">IF(R$5="A",Inputs_Actuals!R15,IF(Assumptions!R$201&lt;Contract_Register!$T$13,0,Q15*(1+Contract_Register!$M$13*Assumptions!$F$178)*IF(AND(Assumptions!R$201&gt;Contract_Register!$T$13,MOD(Assumptions!R$201-Contract_Register!$T$13,Assumptions!$C$90)=0),Contract_Register!$S$13,1)))</f>
        <v>83.3242126931549</v>
      </c>
      <c r="S15" s="67" t="n">
        <f aca="false">IF(S$5="A",Inputs_Actuals!S15,IF(Assumptions!S$201&lt;Contract_Register!$T$13,0,R15*(1+Contract_Register!$M$13*Assumptions!$F$178)*IF(AND(Assumptions!S$201&gt;Contract_Register!$T$13,MOD(Assumptions!S$201-Contract_Register!$T$13,Assumptions!$C$90)=0),Contract_Register!$S$13,1)))</f>
        <v>83.5741853312344</v>
      </c>
      <c r="T15" s="67" t="n">
        <f aca="false">IF(T$5="A",Inputs_Actuals!T15,IF(Assumptions!T$201&lt;Contract_Register!$T$13,0,S15*(1+Contract_Register!$M$13*Assumptions!$F$178)*IF(AND(Assumptions!T$201&gt;Contract_Register!$T$13,MOD(Assumptions!T$201-Contract_Register!$T$13,Assumptions!$C$90)=0),Contract_Register!$S$13,1)))</f>
        <v>83.8249078872281</v>
      </c>
      <c r="U15" s="67" t="n">
        <f aca="false">IF(U$5="A",Inputs_Actuals!U15,IF(Assumptions!U$201&lt;Contract_Register!$T$13,0,T15*(1+Contract_Register!$M$13*Assumptions!$F$178)*IF(AND(Assumptions!U$201&gt;Contract_Register!$T$13,MOD(Assumptions!U$201-Contract_Register!$T$13,Assumptions!$C$90)=0),Contract_Register!$S$13,1)))</f>
        <v>84.0763826108898</v>
      </c>
      <c r="V15" s="67" t="n">
        <f aca="false">IF(V$5="A",Inputs_Actuals!V15,IF(Assumptions!V$201&lt;Contract_Register!$T$13,0,U15*(1+Contract_Register!$M$13*Assumptions!$F$178)*IF(AND(Assumptions!V$201&gt;Contract_Register!$T$13,MOD(Assumptions!V$201-Contract_Register!$T$13,Assumptions!$C$90)=0),Contract_Register!$S$13,1)))</f>
        <v>84.3286117587224</v>
      </c>
      <c r="W15" s="67" t="n">
        <f aca="false">IF(W$5="A",Inputs_Actuals!W15,IF(Assumptions!W$201&lt;Contract_Register!$T$13,0,V15*(1+Contract_Register!$M$13*Assumptions!$F$178)*IF(AND(Assumptions!W$201&gt;Contract_Register!$T$13,MOD(Assumptions!W$201-Contract_Register!$T$13,Assumptions!$C$90)=0),Contract_Register!$S$13,1)))</f>
        <v>84.5815975939986</v>
      </c>
      <c r="X15" s="67" t="n">
        <f aca="false">IF(X$5="A",Inputs_Actuals!X15,IF(Assumptions!X$201&lt;Contract_Register!$T$13,0,W15*(1+Contract_Register!$M$13*Assumptions!$F$178)*IF(AND(Assumptions!X$201&gt;Contract_Register!$T$13,MOD(Assumptions!X$201-Contract_Register!$T$13,Assumptions!$C$90)=0),Contract_Register!$S$13,1)))</f>
        <v>84.8353423867806</v>
      </c>
      <c r="Y15" s="67" t="n">
        <f aca="false">IF(Y$5="A",Inputs_Actuals!Y15,IF(Assumptions!Y$201&lt;Contract_Register!$T$13,0,X15*(1+Contract_Register!$M$13*Assumptions!$F$178)*IF(AND(Assumptions!Y$201&gt;Contract_Register!$T$13,MOD(Assumptions!Y$201-Contract_Register!$T$13,Assumptions!$C$90)=0),Contract_Register!$S$13,1)))</f>
        <v>85.0898484139409</v>
      </c>
      <c r="Z15" s="67" t="n">
        <f aca="false">IF(Z$5="A",Inputs_Actuals!Z15,IF(Assumptions!Z$201&lt;Contract_Register!$T$13,0,Y15*(1+Contract_Register!$M$13*Assumptions!$F$178)*IF(AND(Assumptions!Z$201&gt;Contract_Register!$T$13,MOD(Assumptions!Z$201-Contract_Register!$T$13,Assumptions!$C$90)=0),Contract_Register!$S$13,1)))</f>
        <v>85.3451179591827</v>
      </c>
      <c r="AA15" s="67" t="n">
        <f aca="false">IF(AA$5="A",Inputs_Actuals!AA15,IF(Assumptions!AA$201&lt;Contract_Register!$T$13,0,Z15*(1+Contract_Register!$M$13*Assumptions!$F$178)*IF(AND(Assumptions!AA$201&gt;Contract_Register!$T$13,MOD(Assumptions!AA$201-Contract_Register!$T$13,Assumptions!$C$90)=0),Contract_Register!$S$13,1)))</f>
        <v>85.6011533130603</v>
      </c>
      <c r="AB15" s="67" t="n">
        <f aca="false">IF(AB$5="A",Inputs_Actuals!AB15,IF(Assumptions!AB$201&lt;Contract_Register!$T$13,0,AA15*(1+Contract_Register!$M$13*Assumptions!$F$178)*IF(AND(Assumptions!AB$201&gt;Contract_Register!$T$13,MOD(Assumptions!AB$201-Contract_Register!$T$13,Assumptions!$C$90)=0),Contract_Register!$S$13,1)))</f>
        <v>85.8579567729994</v>
      </c>
    </row>
    <row r="16" customFormat="false" ht="15" hidden="false" customHeight="false" outlineLevel="0" collapsed="false">
      <c r="A16" s="27" t="s">
        <v>781</v>
      </c>
      <c r="B16" s="63" t="s">
        <v>774</v>
      </c>
      <c r="C16" s="66" t="n">
        <f aca="false">P16</f>
        <v>187.230009994985</v>
      </c>
      <c r="D16" s="66" t="n">
        <f aca="false">AB16</f>
        <v>194.082624670148</v>
      </c>
      <c r="E16" s="67" t="n">
        <f aca="false">IF(E$5="A",Inputs_Actuals!E16,IF(Assumptions!E$201&lt;Contract_Register!$T$14,0,Contract_Register!$I$14*(1+Contract_Register!$M$14*Assumptions!$F$178)*IF(AND(Assumptions!E$201&gt;Contract_Register!$T$14,MOD(Assumptions!E$201-Contract_Register!$T$14,Assumptions!$C$90)=0),Contract_Register!$S$14,1)))</f>
        <v>180</v>
      </c>
      <c r="F16" s="67" t="n">
        <f aca="false">IF(F$5="A",Inputs_Actuals!F16,IF(Assumptions!F$201&lt;Contract_Register!$T$14,0,E16*(1+Contract_Register!$M$14*Assumptions!$F$178)*IF(AND(Assumptions!F$201&gt;Contract_Register!$T$14,MOD(Assumptions!F$201-Contract_Register!$T$14,Assumptions!$C$90)=0),Contract_Register!$S$14,1)))</f>
        <v>181</v>
      </c>
      <c r="G16" s="67" t="n">
        <f aca="false">IF(G$5="A",Inputs_Actuals!G16,IF(Assumptions!G$201&lt;Contract_Register!$T$14,0,F16*(1+Contract_Register!$M$14*Assumptions!$F$178)*IF(AND(Assumptions!G$201&gt;Contract_Register!$T$14,MOD(Assumptions!G$201-Contract_Register!$T$14,Assumptions!$C$90)=0),Contract_Register!$S$14,1)))</f>
        <v>182</v>
      </c>
      <c r="H16" s="67" t="n">
        <f aca="false">IF(H$5="A",Inputs_Actuals!H16,IF(Assumptions!H$201&lt;Contract_Register!$T$14,0,G16*(1+Contract_Register!$M$14*Assumptions!$F$178)*IF(AND(Assumptions!H$201&gt;Contract_Register!$T$14,MOD(Assumptions!H$201-Contract_Register!$T$14,Assumptions!$C$90)=0),Contract_Register!$S$14,1)))</f>
        <v>183</v>
      </c>
      <c r="I16" s="67" t="n">
        <f aca="false">IF(I$5="A",Inputs_Actuals!I16,IF(Assumptions!I$201&lt;Contract_Register!$T$14,0,H16*(1+Contract_Register!$M$14*Assumptions!$F$178)*IF(AND(Assumptions!I$201&gt;Contract_Register!$T$14,MOD(Assumptions!I$201-Contract_Register!$T$14,Assumptions!$C$90)=0),Contract_Register!$S$14,1)))</f>
        <v>184</v>
      </c>
      <c r="J16" s="67" t="n">
        <f aca="false">IF(J$5="A",Inputs_Actuals!J16,IF(Assumptions!J$201&lt;Contract_Register!$T$14,0,I16*(1+Contract_Register!$M$14*Assumptions!$F$178)*IF(AND(Assumptions!J$201&gt;Contract_Register!$T$14,MOD(Assumptions!J$201-Contract_Register!$T$14,Assumptions!$C$90)=0),Contract_Register!$S$14,1)))</f>
        <v>185</v>
      </c>
      <c r="K16" s="67" t="n">
        <f aca="false">IF(K$5="A",Inputs_Actuals!K16,IF(Assumptions!K$201&lt;Contract_Register!$T$14,0,J16*(1+Contract_Register!$M$14*Assumptions!$F$178)*IF(AND(Assumptions!K$201&gt;Contract_Register!$T$14,MOD(Assumptions!K$201-Contract_Register!$T$14,Assumptions!$C$90)=0),Contract_Register!$S$14,1)))</f>
        <v>185</v>
      </c>
      <c r="L16" s="67" t="n">
        <f aca="false">IF(L$5="A",Inputs_Actuals!L16,IF(Assumptions!L$201&lt;Contract_Register!$T$14,0,K16*(1+Contract_Register!$M$14*Assumptions!$F$178)*IF(AND(Assumptions!L$201&gt;Contract_Register!$T$14,MOD(Assumptions!L$201-Contract_Register!$T$14,Assumptions!$C$90)=0),Contract_Register!$S$14,1)))</f>
        <v>185</v>
      </c>
      <c r="M16" s="67" t="n">
        <f aca="false">IF(M$5="A",Inputs_Actuals!M16,IF(Assumptions!M$201&lt;Contract_Register!$T$14,0,L16*(1+Contract_Register!$M$14*Assumptions!$F$178)*IF(AND(Assumptions!M$201&gt;Contract_Register!$T$14,MOD(Assumptions!M$201-Contract_Register!$T$14,Assumptions!$C$90)=0),Contract_Register!$S$14,1)))</f>
        <v>185.555</v>
      </c>
      <c r="N16" s="67" t="n">
        <f aca="false">IF(N$5="A",Inputs_Actuals!N16,IF(Assumptions!N$201&lt;Contract_Register!$T$14,0,M16*(1+Contract_Register!$M$14*Assumptions!$F$178)*IF(AND(Assumptions!N$201&gt;Contract_Register!$T$14,MOD(Assumptions!N$201-Contract_Register!$T$14,Assumptions!$C$90)=0),Contract_Register!$S$14,1)))</f>
        <v>186.111665</v>
      </c>
      <c r="O16" s="67" t="n">
        <f aca="false">IF(O$5="A",Inputs_Actuals!O16,IF(Assumptions!O$201&lt;Contract_Register!$T$14,0,N16*(1+Contract_Register!$M$14*Assumptions!$F$178)*IF(AND(Assumptions!O$201&gt;Contract_Register!$T$14,MOD(Assumptions!O$201-Contract_Register!$T$14,Assumptions!$C$90)=0),Contract_Register!$S$14,1)))</f>
        <v>186.669999995</v>
      </c>
      <c r="P16" s="67" t="n">
        <f aca="false">IF(P$5="A",Inputs_Actuals!P16,IF(Assumptions!P$201&lt;Contract_Register!$T$14,0,O16*(1+Contract_Register!$M$14*Assumptions!$F$178)*IF(AND(Assumptions!P$201&gt;Contract_Register!$T$14,MOD(Assumptions!P$201-Contract_Register!$T$14,Assumptions!$C$90)=0),Contract_Register!$S$14,1)))</f>
        <v>187.230009994985</v>
      </c>
      <c r="Q16" s="67" t="n">
        <f aca="false">IF(Q$5="A",Inputs_Actuals!Q16,IF(Assumptions!Q$201&lt;Contract_Register!$T$14,0,P16*(1+Contract_Register!$M$14*Assumptions!$F$178)*IF(AND(Assumptions!Q$201&gt;Contract_Register!$T$14,MOD(Assumptions!Q$201-Contract_Register!$T$14,Assumptions!$C$90)=0),Contract_Register!$S$14,1)))</f>
        <v>187.79170002497</v>
      </c>
      <c r="R16" s="67" t="n">
        <f aca="false">IF(R$5="A",Inputs_Actuals!R16,IF(Assumptions!R$201&lt;Contract_Register!$T$14,0,Q16*(1+Contract_Register!$M$14*Assumptions!$F$178)*IF(AND(Assumptions!R$201&gt;Contract_Register!$T$14,MOD(Assumptions!R$201-Contract_Register!$T$14,Assumptions!$C$90)=0),Contract_Register!$S$14,1)))</f>
        <v>188.355075125045</v>
      </c>
      <c r="S16" s="67" t="n">
        <f aca="false">IF(S$5="A",Inputs_Actuals!S16,IF(Assumptions!S$201&lt;Contract_Register!$T$14,0,R16*(1+Contract_Register!$M$14*Assumptions!$F$178)*IF(AND(Assumptions!S$201&gt;Contract_Register!$T$14,MOD(Assumptions!S$201-Contract_Register!$T$14,Assumptions!$C$90)=0),Contract_Register!$S$14,1)))</f>
        <v>188.92014035042</v>
      </c>
      <c r="T16" s="67" t="n">
        <f aca="false">IF(T$5="A",Inputs_Actuals!T16,IF(Assumptions!T$201&lt;Contract_Register!$T$14,0,S16*(1+Contract_Register!$M$14*Assumptions!$F$178)*IF(AND(Assumptions!T$201&gt;Contract_Register!$T$14,MOD(Assumptions!T$201-Contract_Register!$T$14,Assumptions!$C$90)=0),Contract_Register!$S$14,1)))</f>
        <v>189.486900771471</v>
      </c>
      <c r="U16" s="67" t="n">
        <f aca="false">IF(U$5="A",Inputs_Actuals!U16,IF(Assumptions!U$201&lt;Contract_Register!$T$14,0,T16*(1+Contract_Register!$M$14*Assumptions!$F$178)*IF(AND(Assumptions!U$201&gt;Contract_Register!$T$14,MOD(Assumptions!U$201-Contract_Register!$T$14,Assumptions!$C$90)=0),Contract_Register!$S$14,1)))</f>
        <v>190.055361473785</v>
      </c>
      <c r="V16" s="67" t="n">
        <f aca="false">IF(V$5="A",Inputs_Actuals!V16,IF(Assumptions!V$201&lt;Contract_Register!$T$14,0,U16*(1+Contract_Register!$M$14*Assumptions!$F$178)*IF(AND(Assumptions!V$201&gt;Contract_Register!$T$14,MOD(Assumptions!V$201-Contract_Register!$T$14,Assumptions!$C$90)=0),Contract_Register!$S$14,1)))</f>
        <v>190.625527558207</v>
      </c>
      <c r="W16" s="67" t="n">
        <f aca="false">IF(W$5="A",Inputs_Actuals!W16,IF(Assumptions!W$201&lt;Contract_Register!$T$14,0,V16*(1+Contract_Register!$M$14*Assumptions!$F$178)*IF(AND(Assumptions!W$201&gt;Contract_Register!$T$14,MOD(Assumptions!W$201-Contract_Register!$T$14,Assumptions!$C$90)=0),Contract_Register!$S$14,1)))</f>
        <v>191.197404140881</v>
      </c>
      <c r="X16" s="67" t="n">
        <f aca="false">IF(X$5="A",Inputs_Actuals!X16,IF(Assumptions!X$201&lt;Contract_Register!$T$14,0,W16*(1+Contract_Register!$M$14*Assumptions!$F$178)*IF(AND(Assumptions!X$201&gt;Contract_Register!$T$14,MOD(Assumptions!X$201-Contract_Register!$T$14,Assumptions!$C$90)=0),Contract_Register!$S$14,1)))</f>
        <v>191.770996353304</v>
      </c>
      <c r="Y16" s="67" t="n">
        <f aca="false">IF(Y$5="A",Inputs_Actuals!Y16,IF(Assumptions!Y$201&lt;Contract_Register!$T$14,0,X16*(1+Contract_Register!$M$14*Assumptions!$F$178)*IF(AND(Assumptions!Y$201&gt;Contract_Register!$T$14,MOD(Assumptions!Y$201-Contract_Register!$T$14,Assumptions!$C$90)=0),Contract_Register!$S$14,1)))</f>
        <v>192.346309342364</v>
      </c>
      <c r="Z16" s="67" t="n">
        <f aca="false">IF(Z$5="A",Inputs_Actuals!Z16,IF(Assumptions!Z$201&lt;Contract_Register!$T$14,0,Y16*(1+Contract_Register!$M$14*Assumptions!$F$178)*IF(AND(Assumptions!Z$201&gt;Contract_Register!$T$14,MOD(Assumptions!Z$201-Contract_Register!$T$14,Assumptions!$C$90)=0),Contract_Register!$S$14,1)))</f>
        <v>192.923348270391</v>
      </c>
      <c r="AA16" s="67" t="n">
        <f aca="false">IF(AA$5="A",Inputs_Actuals!AA16,IF(Assumptions!AA$201&lt;Contract_Register!$T$14,0,Z16*(1+Contract_Register!$M$14*Assumptions!$F$178)*IF(AND(Assumptions!AA$201&gt;Contract_Register!$T$14,MOD(Assumptions!AA$201-Contract_Register!$T$14,Assumptions!$C$90)=0),Contract_Register!$S$14,1)))</f>
        <v>193.502118315202</v>
      </c>
      <c r="AB16" s="67" t="n">
        <f aca="false">IF(AB$5="A",Inputs_Actuals!AB16,IF(Assumptions!AB$201&lt;Contract_Register!$T$14,0,AA16*(1+Contract_Register!$M$14*Assumptions!$F$178)*IF(AND(Assumptions!AB$201&gt;Contract_Register!$T$14,MOD(Assumptions!AB$201-Contract_Register!$T$14,Assumptions!$C$90)=0),Contract_Register!$S$14,1)))</f>
        <v>194.082624670148</v>
      </c>
    </row>
    <row r="17" customFormat="false" ht="15" hidden="false" customHeight="false" outlineLevel="0" collapsed="false">
      <c r="A17" s="27" t="s">
        <v>782</v>
      </c>
      <c r="B17" s="63" t="s">
        <v>774</v>
      </c>
      <c r="C17" s="66" t="n">
        <f aca="false">P17</f>
        <v>144.147436578288</v>
      </c>
      <c r="D17" s="66" t="n">
        <f aca="false">AB17</f>
        <v>147.645284824221</v>
      </c>
      <c r="E17" s="67" t="n">
        <f aca="false">IF(E$5="A",Inputs_Actuals!E17,IF(Assumptions!E$201&lt;Contract_Register!$T$15,0,Contract_Register!$I$15*(1+Contract_Register!$M$15*Assumptions!$F$178)*IF(AND(Assumptions!E$201&gt;Contract_Register!$T$15,MOD(Assumptions!E$201-Contract_Register!$T$15,Assumptions!$C$90)=0),Contract_Register!$S$15,1)))</f>
        <v>139</v>
      </c>
      <c r="F17" s="67" t="n">
        <f aca="false">IF(F$5="A",Inputs_Actuals!F17,IF(Assumptions!F$201&lt;Contract_Register!$T$15,0,E17*(1+Contract_Register!$M$15*Assumptions!$F$178)*IF(AND(Assumptions!F$201&gt;Contract_Register!$T$15,MOD(Assumptions!F$201-Contract_Register!$T$15,Assumptions!$C$90)=0),Contract_Register!$S$15,1)))</f>
        <v>140</v>
      </c>
      <c r="G17" s="67" t="n">
        <f aca="false">IF(G$5="A",Inputs_Actuals!G17,IF(Assumptions!G$201&lt;Contract_Register!$T$15,0,F17*(1+Contract_Register!$M$15*Assumptions!$F$178)*IF(AND(Assumptions!G$201&gt;Contract_Register!$T$15,MOD(Assumptions!G$201-Contract_Register!$T$15,Assumptions!$C$90)=0),Contract_Register!$S$15,1)))</f>
        <v>140</v>
      </c>
      <c r="H17" s="67" t="n">
        <f aca="false">IF(H$5="A",Inputs_Actuals!H17,IF(Assumptions!H$201&lt;Contract_Register!$T$15,0,G17*(1+Contract_Register!$M$15*Assumptions!$F$178)*IF(AND(Assumptions!H$201&gt;Contract_Register!$T$15,MOD(Assumptions!H$201-Contract_Register!$T$15,Assumptions!$C$90)=0),Contract_Register!$S$15,1)))</f>
        <v>141</v>
      </c>
      <c r="I17" s="67" t="n">
        <f aca="false">IF(I$5="A",Inputs_Actuals!I17,IF(Assumptions!I$201&lt;Contract_Register!$T$15,0,H17*(1+Contract_Register!$M$15*Assumptions!$F$178)*IF(AND(Assumptions!I$201&gt;Contract_Register!$T$15,MOD(Assumptions!I$201-Contract_Register!$T$15,Assumptions!$C$90)=0),Contract_Register!$S$15,1)))</f>
        <v>142</v>
      </c>
      <c r="J17" s="67" t="n">
        <f aca="false">IF(J$5="A",Inputs_Actuals!J17,IF(Assumptions!J$201&lt;Contract_Register!$T$15,0,I17*(1+Contract_Register!$M$15*Assumptions!$F$178)*IF(AND(Assumptions!J$201&gt;Contract_Register!$T$15,MOD(Assumptions!J$201-Contract_Register!$T$15,Assumptions!$C$90)=0),Contract_Register!$S$15,1)))</f>
        <v>142</v>
      </c>
      <c r="K17" s="67" t="n">
        <f aca="false">IF(K$5="A",Inputs_Actuals!K17,IF(Assumptions!K$201&lt;Contract_Register!$T$15,0,J17*(1+Contract_Register!$M$15*Assumptions!$F$178)*IF(AND(Assumptions!K$201&gt;Contract_Register!$T$15,MOD(Assumptions!K$201-Contract_Register!$T$15,Assumptions!$C$90)=0),Contract_Register!$S$15,1)))</f>
        <v>142</v>
      </c>
      <c r="L17" s="67" t="n">
        <f aca="false">IF(L$5="A",Inputs_Actuals!L17,IF(Assumptions!L$201&lt;Contract_Register!$T$15,0,K17*(1+Contract_Register!$M$15*Assumptions!$F$178)*IF(AND(Assumptions!L$201&gt;Contract_Register!$T$15,MOD(Assumptions!L$201-Contract_Register!$T$15,Assumptions!$C$90)=0),Contract_Register!$S$15,1)))</f>
        <v>143</v>
      </c>
      <c r="M17" s="67" t="n">
        <f aca="false">IF(M$5="A",Inputs_Actuals!M17,IF(Assumptions!M$201&lt;Contract_Register!$T$15,0,L17*(1+Contract_Register!$M$15*Assumptions!$F$178)*IF(AND(Assumptions!M$201&gt;Contract_Register!$T$15,MOD(Assumptions!M$201-Contract_Register!$T$15,Assumptions!$C$90)=0),Contract_Register!$S$15,1)))</f>
        <v>143.286</v>
      </c>
      <c r="N17" s="67" t="n">
        <f aca="false">IF(N$5="A",Inputs_Actuals!N17,IF(Assumptions!N$201&lt;Contract_Register!$T$15,0,M17*(1+Contract_Register!$M$15*Assumptions!$F$178)*IF(AND(Assumptions!N$201&gt;Contract_Register!$T$15,MOD(Assumptions!N$201-Contract_Register!$T$15,Assumptions!$C$90)=0),Contract_Register!$S$15,1)))</f>
        <v>143.572572</v>
      </c>
      <c r="O17" s="67" t="n">
        <f aca="false">IF(O$5="A",Inputs_Actuals!O17,IF(Assumptions!O$201&lt;Contract_Register!$T$15,0,N17*(1+Contract_Register!$M$15*Assumptions!$F$178)*IF(AND(Assumptions!O$201&gt;Contract_Register!$T$15,MOD(Assumptions!O$201-Contract_Register!$T$15,Assumptions!$C$90)=0),Contract_Register!$S$15,1)))</f>
        <v>143.859717144</v>
      </c>
      <c r="P17" s="67" t="n">
        <f aca="false">IF(P$5="A",Inputs_Actuals!P17,IF(Assumptions!P$201&lt;Contract_Register!$T$15,0,O17*(1+Contract_Register!$M$15*Assumptions!$F$178)*IF(AND(Assumptions!P$201&gt;Contract_Register!$T$15,MOD(Assumptions!P$201-Contract_Register!$T$15,Assumptions!$C$90)=0),Contract_Register!$S$15,1)))</f>
        <v>144.147436578288</v>
      </c>
      <c r="Q17" s="67" t="n">
        <f aca="false">IF(Q$5="A",Inputs_Actuals!Q17,IF(Assumptions!Q$201&lt;Contract_Register!$T$15,0,P17*(1+Contract_Register!$M$15*Assumptions!$F$178)*IF(AND(Assumptions!Q$201&gt;Contract_Register!$T$15,MOD(Assumptions!Q$201-Contract_Register!$T$15,Assumptions!$C$90)=0),Contract_Register!$S$15,1)))</f>
        <v>144.435731451445</v>
      </c>
      <c r="R17" s="67" t="n">
        <f aca="false">IF(R$5="A",Inputs_Actuals!R17,IF(Assumptions!R$201&lt;Contract_Register!$T$15,0,Q17*(1+Contract_Register!$M$15*Assumptions!$F$178)*IF(AND(Assumptions!R$201&gt;Contract_Register!$T$15,MOD(Assumptions!R$201-Contract_Register!$T$15,Assumptions!$C$90)=0),Contract_Register!$S$15,1)))</f>
        <v>144.724602914347</v>
      </c>
      <c r="S17" s="67" t="n">
        <f aca="false">IF(S$5="A",Inputs_Actuals!S17,IF(Assumptions!S$201&lt;Contract_Register!$T$15,0,R17*(1+Contract_Register!$M$15*Assumptions!$F$178)*IF(AND(Assumptions!S$201&gt;Contract_Register!$T$15,MOD(Assumptions!S$201-Contract_Register!$T$15,Assumptions!$C$90)=0),Contract_Register!$S$15,1)))</f>
        <v>145.014052120176</v>
      </c>
      <c r="T17" s="67" t="n">
        <f aca="false">IF(T$5="A",Inputs_Actuals!T17,IF(Assumptions!T$201&lt;Contract_Register!$T$15,0,S17*(1+Contract_Register!$M$15*Assumptions!$F$178)*IF(AND(Assumptions!T$201&gt;Contract_Register!$T$15,MOD(Assumptions!T$201-Contract_Register!$T$15,Assumptions!$C$90)=0),Contract_Register!$S$15,1)))</f>
        <v>145.304080224417</v>
      </c>
      <c r="U17" s="67" t="n">
        <f aca="false">IF(U$5="A",Inputs_Actuals!U17,IF(Assumptions!U$201&lt;Contract_Register!$T$15,0,T17*(1+Contract_Register!$M$15*Assumptions!$F$178)*IF(AND(Assumptions!U$201&gt;Contract_Register!$T$15,MOD(Assumptions!U$201-Contract_Register!$T$15,Assumptions!$C$90)=0),Contract_Register!$S$15,1)))</f>
        <v>145.594688384865</v>
      </c>
      <c r="V17" s="67" t="n">
        <f aca="false">IF(V$5="A",Inputs_Actuals!V17,IF(Assumptions!V$201&lt;Contract_Register!$T$15,0,U17*(1+Contract_Register!$M$15*Assumptions!$F$178)*IF(AND(Assumptions!V$201&gt;Contract_Register!$T$15,MOD(Assumptions!V$201-Contract_Register!$T$15,Assumptions!$C$90)=0),Contract_Register!$S$15,1)))</f>
        <v>145.885877761635</v>
      </c>
      <c r="W17" s="67" t="n">
        <f aca="false">IF(W$5="A",Inputs_Actuals!W17,IF(Assumptions!W$201&lt;Contract_Register!$T$15,0,V17*(1+Contract_Register!$M$15*Assumptions!$F$178)*IF(AND(Assumptions!W$201&gt;Contract_Register!$T$15,MOD(Assumptions!W$201-Contract_Register!$T$15,Assumptions!$C$90)=0),Contract_Register!$S$15,1)))</f>
        <v>146.177649517158</v>
      </c>
      <c r="X17" s="67" t="n">
        <f aca="false">IF(X$5="A",Inputs_Actuals!X17,IF(Assumptions!X$201&lt;Contract_Register!$T$15,0,W17*(1+Contract_Register!$M$15*Assumptions!$F$178)*IF(AND(Assumptions!X$201&gt;Contract_Register!$T$15,MOD(Assumptions!X$201-Contract_Register!$T$15,Assumptions!$C$90)=0),Contract_Register!$S$15,1)))</f>
        <v>146.470004816193</v>
      </c>
      <c r="Y17" s="67" t="n">
        <f aca="false">IF(Y$5="A",Inputs_Actuals!Y17,IF(Assumptions!Y$201&lt;Contract_Register!$T$15,0,X17*(1+Contract_Register!$M$15*Assumptions!$F$178)*IF(AND(Assumptions!Y$201&gt;Contract_Register!$T$15,MOD(Assumptions!Y$201-Contract_Register!$T$15,Assumptions!$C$90)=0),Contract_Register!$S$15,1)))</f>
        <v>146.762944825825</v>
      </c>
      <c r="Z17" s="67" t="n">
        <f aca="false">IF(Z$5="A",Inputs_Actuals!Z17,IF(Assumptions!Z$201&lt;Contract_Register!$T$15,0,Y17*(1+Contract_Register!$M$15*Assumptions!$F$178)*IF(AND(Assumptions!Z$201&gt;Contract_Register!$T$15,MOD(Assumptions!Z$201-Contract_Register!$T$15,Assumptions!$C$90)=0),Contract_Register!$S$15,1)))</f>
        <v>147.056470715477</v>
      </c>
      <c r="AA17" s="67" t="n">
        <f aca="false">IF(AA$5="A",Inputs_Actuals!AA17,IF(Assumptions!AA$201&lt;Contract_Register!$T$15,0,Z17*(1+Contract_Register!$M$15*Assumptions!$F$178)*IF(AND(Assumptions!AA$201&gt;Contract_Register!$T$15,MOD(Assumptions!AA$201-Contract_Register!$T$15,Assumptions!$C$90)=0),Contract_Register!$S$15,1)))</f>
        <v>147.350583656908</v>
      </c>
      <c r="AB17" s="67" t="n">
        <f aca="false">IF(AB$5="A",Inputs_Actuals!AB17,IF(Assumptions!AB$201&lt;Contract_Register!$T$15,0,AA17*(1+Contract_Register!$M$15*Assumptions!$F$178)*IF(AND(Assumptions!AB$201&gt;Contract_Register!$T$15,MOD(Assumptions!AB$201-Contract_Register!$T$15,Assumptions!$C$90)=0),Contract_Register!$S$15,1)))</f>
        <v>147.645284824221</v>
      </c>
    </row>
    <row r="18" customFormat="false" ht="15" hidden="false" customHeight="false" outlineLevel="0" collapsed="false">
      <c r="A18" s="27" t="s">
        <v>783</v>
      </c>
      <c r="B18" s="63" t="s">
        <v>774</v>
      </c>
      <c r="C18" s="66" t="n">
        <f aca="false">P18</f>
        <v>61.489465952976</v>
      </c>
      <c r="D18" s="66" t="n">
        <f aca="false">AB18</f>
        <v>59.8324773116338</v>
      </c>
      <c r="E18" s="67" t="n">
        <f aca="false">IF(E$5="A",Inputs_Actuals!E18,IF(Assumptions!E$201&lt;Contract_Register!$T$16,0,Contract_Register!$I$16*(1+Contract_Register!$M$16*Assumptions!$F$178)*IF(AND(Assumptions!E$201&gt;Contract_Register!$T$16,MOD(Assumptions!E$201-Contract_Register!$T$16,Assumptions!$C$90)=0),Contract_Register!$S$16,1)))</f>
        <v>60</v>
      </c>
      <c r="F18" s="67" t="n">
        <f aca="false">IF(F$5="A",Inputs_Actuals!F18,IF(Assumptions!F$201&lt;Contract_Register!$T$16,0,E18*(1+Contract_Register!$M$16*Assumptions!$F$178)*IF(AND(Assumptions!F$201&gt;Contract_Register!$T$16,MOD(Assumptions!F$201-Contract_Register!$T$16,Assumptions!$C$90)=0),Contract_Register!$S$16,1)))</f>
        <v>60</v>
      </c>
      <c r="G18" s="67" t="n">
        <f aca="false">IF(G$5="A",Inputs_Actuals!G18,IF(Assumptions!G$201&lt;Contract_Register!$T$16,0,F18*(1+Contract_Register!$M$16*Assumptions!$F$178)*IF(AND(Assumptions!G$201&gt;Contract_Register!$T$16,MOD(Assumptions!G$201-Contract_Register!$T$16,Assumptions!$C$90)=0),Contract_Register!$S$16,1)))</f>
        <v>60</v>
      </c>
      <c r="H18" s="67" t="n">
        <f aca="false">IF(H$5="A",Inputs_Actuals!H18,IF(Assumptions!H$201&lt;Contract_Register!$T$16,0,G18*(1+Contract_Register!$M$16*Assumptions!$F$178)*IF(AND(Assumptions!H$201&gt;Contract_Register!$T$16,MOD(Assumptions!H$201-Contract_Register!$T$16,Assumptions!$C$90)=0),Contract_Register!$S$16,1)))</f>
        <v>60</v>
      </c>
      <c r="I18" s="67" t="n">
        <f aca="false">IF(I$5="A",Inputs_Actuals!I18,IF(Assumptions!I$201&lt;Contract_Register!$T$16,0,H18*(1+Contract_Register!$M$16*Assumptions!$F$178)*IF(AND(Assumptions!I$201&gt;Contract_Register!$T$16,MOD(Assumptions!I$201-Contract_Register!$T$16,Assumptions!$C$90)=0),Contract_Register!$S$16,1)))</f>
        <v>60</v>
      </c>
      <c r="J18" s="67" t="n">
        <f aca="false">IF(J$5="A",Inputs_Actuals!J18,IF(Assumptions!J$201&lt;Contract_Register!$T$16,0,I18*(1+Contract_Register!$M$16*Assumptions!$F$178)*IF(AND(Assumptions!J$201&gt;Contract_Register!$T$16,MOD(Assumptions!J$201-Contract_Register!$T$16,Assumptions!$C$90)=0),Contract_Register!$S$16,1)))</f>
        <v>61</v>
      </c>
      <c r="K18" s="67" t="n">
        <f aca="false">IF(K$5="A",Inputs_Actuals!K18,IF(Assumptions!K$201&lt;Contract_Register!$T$16,0,J18*(1+Contract_Register!$M$16*Assumptions!$F$178)*IF(AND(Assumptions!K$201&gt;Contract_Register!$T$16,MOD(Assumptions!K$201-Contract_Register!$T$16,Assumptions!$C$90)=0),Contract_Register!$S$16,1)))</f>
        <v>61</v>
      </c>
      <c r="L18" s="67" t="n">
        <f aca="false">IF(L$5="A",Inputs_Actuals!L18,IF(Assumptions!L$201&lt;Contract_Register!$T$16,0,K18*(1+Contract_Register!$M$16*Assumptions!$F$178)*IF(AND(Assumptions!L$201&gt;Contract_Register!$T$16,MOD(Assumptions!L$201-Contract_Register!$T$16,Assumptions!$C$90)=0),Contract_Register!$S$16,1)))</f>
        <v>61</v>
      </c>
      <c r="M18" s="67" t="n">
        <f aca="false">IF(M$5="A",Inputs_Actuals!M18,IF(Assumptions!M$201&lt;Contract_Register!$T$16,0,L18*(1+Contract_Register!$M$16*Assumptions!$F$178)*IF(AND(Assumptions!M$201&gt;Contract_Register!$T$16,MOD(Assumptions!M$201-Contract_Register!$T$16,Assumptions!$C$90)=0),Contract_Register!$S$16,1)))</f>
        <v>61.122</v>
      </c>
      <c r="N18" s="67" t="n">
        <f aca="false">IF(N$5="A",Inputs_Actuals!N18,IF(Assumptions!N$201&lt;Contract_Register!$T$16,0,M18*(1+Contract_Register!$M$16*Assumptions!$F$178)*IF(AND(Assumptions!N$201&gt;Contract_Register!$T$16,MOD(Assumptions!N$201-Contract_Register!$T$16,Assumptions!$C$90)=0),Contract_Register!$S$16,1)))</f>
        <v>61.244244</v>
      </c>
      <c r="O18" s="67" t="n">
        <f aca="false">IF(O$5="A",Inputs_Actuals!O18,IF(Assumptions!O$201&lt;Contract_Register!$T$16,0,N18*(1+Contract_Register!$M$16*Assumptions!$F$178)*IF(AND(Assumptions!O$201&gt;Contract_Register!$T$16,MOD(Assumptions!O$201-Contract_Register!$T$16,Assumptions!$C$90)=0),Contract_Register!$S$16,1)))</f>
        <v>61.366732488</v>
      </c>
      <c r="P18" s="67" t="n">
        <f aca="false">IF(P$5="A",Inputs_Actuals!P18,IF(Assumptions!P$201&lt;Contract_Register!$T$16,0,O18*(1+Contract_Register!$M$16*Assumptions!$F$178)*IF(AND(Assumptions!P$201&gt;Contract_Register!$T$16,MOD(Assumptions!P$201-Contract_Register!$T$16,Assumptions!$C$90)=0),Contract_Register!$S$16,1)))</f>
        <v>61.489465952976</v>
      </c>
      <c r="Q18" s="67" t="n">
        <f aca="false">IF(Q$5="A",Inputs_Actuals!Q18,IF(Assumptions!Q$201&lt;Contract_Register!$T$16,0,P18*(1+Contract_Register!$M$16*Assumptions!$F$178)*IF(AND(Assumptions!Q$201&gt;Contract_Register!$T$16,MOD(Assumptions!Q$201-Contract_Register!$T$16,Assumptions!$C$90)=0),Contract_Register!$S$16,1)))</f>
        <v>61.612444884882</v>
      </c>
      <c r="R18" s="67" t="n">
        <f aca="false">IF(R$5="A",Inputs_Actuals!R18,IF(Assumptions!R$201&lt;Contract_Register!$T$16,0,Q18*(1+Contract_Register!$M$16*Assumptions!$F$178)*IF(AND(Assumptions!R$201&gt;Contract_Register!$T$16,MOD(Assumptions!R$201-Contract_Register!$T$16,Assumptions!$C$90)=0),Contract_Register!$S$16,1)))</f>
        <v>61.7356697746517</v>
      </c>
      <c r="S18" s="67" t="n">
        <f aca="false">IF(S$5="A",Inputs_Actuals!S18,IF(Assumptions!S$201&lt;Contract_Register!$T$16,0,R18*(1+Contract_Register!$M$16*Assumptions!$F$178)*IF(AND(Assumptions!S$201&gt;Contract_Register!$T$16,MOD(Assumptions!S$201-Contract_Register!$T$16,Assumptions!$C$90)=0),Contract_Register!$S$16,1)))</f>
        <v>61.859141114201</v>
      </c>
      <c r="T18" s="67" t="n">
        <f aca="false">IF(T$5="A",Inputs_Actuals!T18,IF(Assumptions!T$201&lt;Contract_Register!$T$16,0,S18*(1+Contract_Register!$M$16*Assumptions!$F$178)*IF(AND(Assumptions!T$201&gt;Contract_Register!$T$16,MOD(Assumptions!T$201-Contract_Register!$T$16,Assumptions!$C$90)=0),Contract_Register!$S$16,1)))</f>
        <v>61.9828593964294</v>
      </c>
      <c r="U18" s="67" t="n">
        <f aca="false">IF(U$5="A",Inputs_Actuals!U18,IF(Assumptions!U$201&lt;Contract_Register!$T$16,0,T18*(1+Contract_Register!$M$16*Assumptions!$F$178)*IF(AND(Assumptions!U$201&gt;Contract_Register!$T$16,MOD(Assumptions!U$201-Contract_Register!$T$16,Assumptions!$C$90)=0),Contract_Register!$S$16,1)))</f>
        <v>62.1068251152223</v>
      </c>
      <c r="V18" s="67" t="n">
        <f aca="false">IF(V$5="A",Inputs_Actuals!V18,IF(Assumptions!V$201&lt;Contract_Register!$T$16,0,U18*(1+Contract_Register!$M$16*Assumptions!$F$178)*IF(AND(Assumptions!V$201&gt;Contract_Register!$T$16,MOD(Assumptions!V$201-Contract_Register!$T$16,Assumptions!$C$90)=0),Contract_Register!$S$16,1)))</f>
        <v>62.2310387654527</v>
      </c>
      <c r="W18" s="67" t="n">
        <f aca="false">IF(W$5="A",Inputs_Actuals!W18,IF(Assumptions!W$201&lt;Contract_Register!$T$16,0,V18*(1+Contract_Register!$M$16*Assumptions!$F$178)*IF(AND(Assumptions!W$201&gt;Contract_Register!$T$16,MOD(Assumptions!W$201-Contract_Register!$T$16,Assumptions!$C$90)=0),Contract_Register!$S$16,1)))</f>
        <v>62.3555008429836</v>
      </c>
      <c r="X18" s="67" t="n">
        <f aca="false">IF(X$5="A",Inputs_Actuals!X18,IF(Assumptions!X$201&lt;Contract_Register!$T$16,0,W18*(1+Contract_Register!$M$16*Assumptions!$F$178)*IF(AND(Assumptions!X$201&gt;Contract_Register!$T$16,MOD(Assumptions!X$201-Contract_Register!$T$16,Assumptions!$C$90)=0),Contract_Register!$S$16,1)))</f>
        <v>62.4802118446696</v>
      </c>
      <c r="Y18" s="67" t="n">
        <f aca="false">IF(Y$5="A",Inputs_Actuals!Y18,IF(Assumptions!Y$201&lt;Contract_Register!$T$16,0,X18*(1+Contract_Register!$M$16*Assumptions!$F$178)*IF(AND(Assumptions!Y$201&gt;Contract_Register!$T$16,MOD(Assumptions!Y$201-Contract_Register!$T$16,Assumptions!$C$90)=0),Contract_Register!$S$16,1)))</f>
        <v>62.605172268359</v>
      </c>
      <c r="Z18" s="67" t="n">
        <f aca="false">IF(Z$5="A",Inputs_Actuals!Z18,IF(Assumptions!Z$201&lt;Contract_Register!$T$16,0,Y18*(1+Contract_Register!$M$16*Assumptions!$F$178)*IF(AND(Assumptions!Z$201&gt;Contract_Register!$T$16,MOD(Assumptions!Z$201-Contract_Register!$T$16,Assumptions!$C$90)=0),Contract_Register!$S$16,1)))</f>
        <v>59.5938634822509</v>
      </c>
      <c r="AA18" s="67" t="n">
        <f aca="false">IF(AA$5="A",Inputs_Actuals!AA18,IF(Assumptions!AA$201&lt;Contract_Register!$T$16,0,Z18*(1+Contract_Register!$M$16*Assumptions!$F$178)*IF(AND(Assumptions!AA$201&gt;Contract_Register!$T$16,MOD(Assumptions!AA$201-Contract_Register!$T$16,Assumptions!$C$90)=0),Contract_Register!$S$16,1)))</f>
        <v>59.7130512092154</v>
      </c>
      <c r="AB18" s="67" t="n">
        <f aca="false">IF(AB$5="A",Inputs_Actuals!AB18,IF(Assumptions!AB$201&lt;Contract_Register!$T$16,0,AA18*(1+Contract_Register!$M$16*Assumptions!$F$178)*IF(AND(Assumptions!AB$201&gt;Contract_Register!$T$16,MOD(Assumptions!AB$201-Contract_Register!$T$16,Assumptions!$C$90)=0),Contract_Register!$S$16,1)))</f>
        <v>59.8324773116338</v>
      </c>
    </row>
    <row r="19" customFormat="false" ht="15" hidden="false" customHeight="false" outlineLevel="0" collapsed="false">
      <c r="A19" s="27" t="s">
        <v>784</v>
      </c>
      <c r="B19" s="63" t="s">
        <v>774</v>
      </c>
      <c r="C19" s="66" t="n">
        <f aca="false">P19</f>
        <v>133.059172226112</v>
      </c>
      <c r="D19" s="66" t="n">
        <f aca="false">AB19</f>
        <v>136.287955222358</v>
      </c>
      <c r="E19" s="67" t="n">
        <f aca="false">IF(E$5="A",Inputs_Actuals!E19,IF(Assumptions!E$201&lt;Contract_Register!$T$17,0,Contract_Register!$I$17*(1+Contract_Register!$M$17*Assumptions!$F$178)*IF(AND(Assumptions!E$201&gt;Contract_Register!$T$17,MOD(Assumptions!E$201-Contract_Register!$T$17,Assumptions!$C$90)=0),Contract_Register!$S$17,1)))</f>
        <v>130</v>
      </c>
      <c r="F19" s="67" t="n">
        <f aca="false">IF(F$5="A",Inputs_Actuals!F19,IF(Assumptions!F$201&lt;Contract_Register!$T$17,0,E19*(1+Contract_Register!$M$17*Assumptions!$F$178)*IF(AND(Assumptions!F$201&gt;Contract_Register!$T$17,MOD(Assumptions!F$201-Contract_Register!$T$17,Assumptions!$C$90)=0),Contract_Register!$S$17,1)))</f>
        <v>131</v>
      </c>
      <c r="G19" s="67" t="n">
        <f aca="false">IF(G$5="A",Inputs_Actuals!G19,IF(Assumptions!G$201&lt;Contract_Register!$T$17,0,F19*(1+Contract_Register!$M$17*Assumptions!$F$178)*IF(AND(Assumptions!G$201&gt;Contract_Register!$T$17,MOD(Assumptions!G$201-Contract_Register!$T$17,Assumptions!$C$90)=0),Contract_Register!$S$17,1)))</f>
        <v>131</v>
      </c>
      <c r="H19" s="67" t="n">
        <f aca="false">IF(H$5="A",Inputs_Actuals!H19,IF(Assumptions!H$201&lt;Contract_Register!$T$17,0,G19*(1+Contract_Register!$M$17*Assumptions!$F$178)*IF(AND(Assumptions!H$201&gt;Contract_Register!$T$17,MOD(Assumptions!H$201-Contract_Register!$T$17,Assumptions!$C$90)=0),Contract_Register!$S$17,1)))</f>
        <v>131</v>
      </c>
      <c r="I19" s="67" t="n">
        <f aca="false">IF(I$5="A",Inputs_Actuals!I19,IF(Assumptions!I$201&lt;Contract_Register!$T$17,0,H19*(1+Contract_Register!$M$17*Assumptions!$F$178)*IF(AND(Assumptions!I$201&gt;Contract_Register!$T$17,MOD(Assumptions!I$201-Contract_Register!$T$17,Assumptions!$C$90)=0),Contract_Register!$S$17,1)))</f>
        <v>131</v>
      </c>
      <c r="J19" s="67" t="n">
        <f aca="false">IF(J$5="A",Inputs_Actuals!J19,IF(Assumptions!J$201&lt;Contract_Register!$T$17,0,I19*(1+Contract_Register!$M$17*Assumptions!$F$178)*IF(AND(Assumptions!J$201&gt;Contract_Register!$T$17,MOD(Assumptions!J$201-Contract_Register!$T$17,Assumptions!$C$90)=0),Contract_Register!$S$17,1)))</f>
        <v>131</v>
      </c>
      <c r="K19" s="67" t="n">
        <f aca="false">IF(K$5="A",Inputs_Actuals!K19,IF(Assumptions!K$201&lt;Contract_Register!$T$17,0,J19*(1+Contract_Register!$M$17*Assumptions!$F$178)*IF(AND(Assumptions!K$201&gt;Contract_Register!$T$17,MOD(Assumptions!K$201-Contract_Register!$T$17,Assumptions!$C$90)=0),Contract_Register!$S$17,1)))</f>
        <v>131</v>
      </c>
      <c r="L19" s="67" t="n">
        <f aca="false">IF(L$5="A",Inputs_Actuals!L19,IF(Assumptions!L$201&lt;Contract_Register!$T$17,0,K19*(1+Contract_Register!$M$17*Assumptions!$F$178)*IF(AND(Assumptions!L$201&gt;Contract_Register!$T$17,MOD(Assumptions!L$201-Contract_Register!$T$17,Assumptions!$C$90)=0),Contract_Register!$S$17,1)))</f>
        <v>132</v>
      </c>
      <c r="M19" s="67" t="n">
        <f aca="false">IF(M$5="A",Inputs_Actuals!M19,IF(Assumptions!M$201&lt;Contract_Register!$T$17,0,L19*(1+Contract_Register!$M$17*Assumptions!$F$178)*IF(AND(Assumptions!M$201&gt;Contract_Register!$T$17,MOD(Assumptions!M$201-Contract_Register!$T$17,Assumptions!$C$90)=0),Contract_Register!$S$17,1)))</f>
        <v>132.264</v>
      </c>
      <c r="N19" s="67" t="n">
        <f aca="false">IF(N$5="A",Inputs_Actuals!N19,IF(Assumptions!N$201&lt;Contract_Register!$T$17,0,M19*(1+Contract_Register!$M$17*Assumptions!$F$178)*IF(AND(Assumptions!N$201&gt;Contract_Register!$T$17,MOD(Assumptions!N$201-Contract_Register!$T$17,Assumptions!$C$90)=0),Contract_Register!$S$17,1)))</f>
        <v>132.528528</v>
      </c>
      <c r="O19" s="67" t="n">
        <f aca="false">IF(O$5="A",Inputs_Actuals!O19,IF(Assumptions!O$201&lt;Contract_Register!$T$17,0,N19*(1+Contract_Register!$M$17*Assumptions!$F$178)*IF(AND(Assumptions!O$201&gt;Contract_Register!$T$17,MOD(Assumptions!O$201-Contract_Register!$T$17,Assumptions!$C$90)=0),Contract_Register!$S$17,1)))</f>
        <v>132.793585056</v>
      </c>
      <c r="P19" s="67" t="n">
        <f aca="false">IF(P$5="A",Inputs_Actuals!P19,IF(Assumptions!P$201&lt;Contract_Register!$T$17,0,O19*(1+Contract_Register!$M$17*Assumptions!$F$178)*IF(AND(Assumptions!P$201&gt;Contract_Register!$T$17,MOD(Assumptions!P$201-Contract_Register!$T$17,Assumptions!$C$90)=0),Contract_Register!$S$17,1)))</f>
        <v>133.059172226112</v>
      </c>
      <c r="Q19" s="67" t="n">
        <f aca="false">IF(Q$5="A",Inputs_Actuals!Q19,IF(Assumptions!Q$201&lt;Contract_Register!$T$17,0,P19*(1+Contract_Register!$M$17*Assumptions!$F$178)*IF(AND(Assumptions!Q$201&gt;Contract_Register!$T$17,MOD(Assumptions!Q$201-Contract_Register!$T$17,Assumptions!$C$90)=0),Contract_Register!$S$17,1)))</f>
        <v>133.325290570564</v>
      </c>
      <c r="R19" s="67" t="n">
        <f aca="false">IF(R$5="A",Inputs_Actuals!R19,IF(Assumptions!R$201&lt;Contract_Register!$T$17,0,Q19*(1+Contract_Register!$M$17*Assumptions!$F$178)*IF(AND(Assumptions!R$201&gt;Contract_Register!$T$17,MOD(Assumptions!R$201-Contract_Register!$T$17,Assumptions!$C$90)=0),Contract_Register!$S$17,1)))</f>
        <v>133.591941151705</v>
      </c>
      <c r="S19" s="67" t="n">
        <f aca="false">IF(S$5="A",Inputs_Actuals!S19,IF(Assumptions!S$201&lt;Contract_Register!$T$17,0,R19*(1+Contract_Register!$M$17*Assumptions!$F$178)*IF(AND(Assumptions!S$201&gt;Contract_Register!$T$17,MOD(Assumptions!S$201-Contract_Register!$T$17,Assumptions!$C$90)=0),Contract_Register!$S$17,1)))</f>
        <v>133.859125034009</v>
      </c>
      <c r="T19" s="67" t="n">
        <f aca="false">IF(T$5="A",Inputs_Actuals!T19,IF(Assumptions!T$201&lt;Contract_Register!$T$17,0,S19*(1+Contract_Register!$M$17*Assumptions!$F$178)*IF(AND(Assumptions!T$201&gt;Contract_Register!$T$17,MOD(Assumptions!T$201-Contract_Register!$T$17,Assumptions!$C$90)=0),Contract_Register!$S$17,1)))</f>
        <v>134.126843284077</v>
      </c>
      <c r="U19" s="67" t="n">
        <f aca="false">IF(U$5="A",Inputs_Actuals!U19,IF(Assumptions!U$201&lt;Contract_Register!$T$17,0,T19*(1+Contract_Register!$M$17*Assumptions!$F$178)*IF(AND(Assumptions!U$201&gt;Contract_Register!$T$17,MOD(Assumptions!U$201-Contract_Register!$T$17,Assumptions!$C$90)=0),Contract_Register!$S$17,1)))</f>
        <v>134.395096970645</v>
      </c>
      <c r="V19" s="67" t="n">
        <f aca="false">IF(V$5="A",Inputs_Actuals!V19,IF(Assumptions!V$201&lt;Contract_Register!$T$17,0,U19*(1+Contract_Register!$M$17*Assumptions!$F$178)*IF(AND(Assumptions!V$201&gt;Contract_Register!$T$17,MOD(Assumptions!V$201-Contract_Register!$T$17,Assumptions!$C$90)=0),Contract_Register!$S$17,1)))</f>
        <v>134.663887164586</v>
      </c>
      <c r="W19" s="67" t="n">
        <f aca="false">IF(W$5="A",Inputs_Actuals!W19,IF(Assumptions!W$201&lt;Contract_Register!$T$17,0,V19*(1+Contract_Register!$M$17*Assumptions!$F$178)*IF(AND(Assumptions!W$201&gt;Contract_Register!$T$17,MOD(Assumptions!W$201-Contract_Register!$T$17,Assumptions!$C$90)=0),Contract_Register!$S$17,1)))</f>
        <v>134.933214938915</v>
      </c>
      <c r="X19" s="67" t="n">
        <f aca="false">IF(X$5="A",Inputs_Actuals!X19,IF(Assumptions!X$201&lt;Contract_Register!$T$17,0,W19*(1+Contract_Register!$M$17*Assumptions!$F$178)*IF(AND(Assumptions!X$201&gt;Contract_Register!$T$17,MOD(Assumptions!X$201-Contract_Register!$T$17,Assumptions!$C$90)=0),Contract_Register!$S$17,1)))</f>
        <v>135.203081368793</v>
      </c>
      <c r="Y19" s="67" t="n">
        <f aca="false">IF(Y$5="A",Inputs_Actuals!Y19,IF(Assumptions!Y$201&lt;Contract_Register!$T$17,0,X19*(1+Contract_Register!$M$17*Assumptions!$F$178)*IF(AND(Assumptions!Y$201&gt;Contract_Register!$T$17,MOD(Assumptions!Y$201-Contract_Register!$T$17,Assumptions!$C$90)=0),Contract_Register!$S$17,1)))</f>
        <v>135.473487531531</v>
      </c>
      <c r="Z19" s="67" t="n">
        <f aca="false">IF(Z$5="A",Inputs_Actuals!Z19,IF(Assumptions!Z$201&lt;Contract_Register!$T$17,0,Y19*(1+Contract_Register!$M$17*Assumptions!$F$178)*IF(AND(Assumptions!Z$201&gt;Contract_Register!$T$17,MOD(Assumptions!Z$201-Contract_Register!$T$17,Assumptions!$C$90)=0),Contract_Register!$S$17,1)))</f>
        <v>135.744434506594</v>
      </c>
      <c r="AA19" s="67" t="n">
        <f aca="false">IF(AA$5="A",Inputs_Actuals!AA19,IF(Assumptions!AA$201&lt;Contract_Register!$T$17,0,Z19*(1+Contract_Register!$M$17*Assumptions!$F$178)*IF(AND(Assumptions!AA$201&gt;Contract_Register!$T$17,MOD(Assumptions!AA$201-Contract_Register!$T$17,Assumptions!$C$90)=0),Contract_Register!$S$17,1)))</f>
        <v>136.015923375607</v>
      </c>
      <c r="AB19" s="67" t="n">
        <f aca="false">IF(AB$5="A",Inputs_Actuals!AB19,IF(Assumptions!AB$201&lt;Contract_Register!$T$17,0,AA19*(1+Contract_Register!$M$17*Assumptions!$F$178)*IF(AND(Assumptions!AB$201&gt;Contract_Register!$T$17,MOD(Assumptions!AB$201-Contract_Register!$T$17,Assumptions!$C$90)=0),Contract_Register!$S$17,1)))</f>
        <v>136.287955222358</v>
      </c>
    </row>
    <row r="20" customFormat="false" ht="15" hidden="false" customHeight="false" outlineLevel="0" collapsed="false">
      <c r="A20" s="27" t="s">
        <v>785</v>
      </c>
      <c r="B20" s="63" t="s">
        <v>774</v>
      </c>
      <c r="C20" s="66" t="n">
        <f aca="false">P20</f>
        <v>103.643539793023</v>
      </c>
      <c r="D20" s="66" t="n">
        <f aca="false">AB20</f>
        <v>104.89412559713</v>
      </c>
      <c r="E20" s="67" t="n">
        <f aca="false">IF(E$5="A",Inputs_Actuals!E20,IF(Assumptions!E$201&lt;Contract_Register!$T$18,0,Contract_Register!$I$18*(1+Contract_Register!$M$18*Assumptions!$F$178)*IF(AND(Assumptions!E$201&gt;Contract_Register!$T$18,MOD(Assumptions!E$201-Contract_Register!$T$18,Assumptions!$C$90)=0),Contract_Register!$S$18,1)))</f>
        <v>110</v>
      </c>
      <c r="F20" s="67" t="n">
        <f aca="false">IF(F$5="A",Inputs_Actuals!F20,IF(Assumptions!F$201&lt;Contract_Register!$T$18,0,E20*(1+Contract_Register!$M$18*Assumptions!$F$178)*IF(AND(Assumptions!F$201&gt;Contract_Register!$T$18,MOD(Assumptions!F$201-Contract_Register!$T$18,Assumptions!$C$90)=0),Contract_Register!$S$18,1)))</f>
        <v>110</v>
      </c>
      <c r="G20" s="67" t="n">
        <f aca="false">IF(G$5="A",Inputs_Actuals!G20,IF(Assumptions!G$201&lt;Contract_Register!$T$18,0,F20*(1+Contract_Register!$M$18*Assumptions!$F$178)*IF(AND(Assumptions!G$201&gt;Contract_Register!$T$18,MOD(Assumptions!G$201-Contract_Register!$T$18,Assumptions!$C$90)=0),Contract_Register!$S$18,1)))</f>
        <v>111</v>
      </c>
      <c r="H20" s="67" t="n">
        <f aca="false">IF(H$5="A",Inputs_Actuals!H20,IF(Assumptions!H$201&lt;Contract_Register!$T$18,0,G20*(1+Contract_Register!$M$18*Assumptions!$F$178)*IF(AND(Assumptions!H$201&gt;Contract_Register!$T$18,MOD(Assumptions!H$201-Contract_Register!$T$18,Assumptions!$C$90)=0),Contract_Register!$S$18,1)))</f>
        <v>110</v>
      </c>
      <c r="I20" s="67" t="n">
        <f aca="false">IF(I$5="A",Inputs_Actuals!I20,IF(Assumptions!I$201&lt;Contract_Register!$T$18,0,H20*(1+Contract_Register!$M$18*Assumptions!$F$178)*IF(AND(Assumptions!I$201&gt;Contract_Register!$T$18,MOD(Assumptions!I$201-Contract_Register!$T$18,Assumptions!$C$90)=0),Contract_Register!$S$18,1)))</f>
        <v>110</v>
      </c>
      <c r="J20" s="67" t="n">
        <f aca="false">IF(J$5="A",Inputs_Actuals!J20,IF(Assumptions!J$201&lt;Contract_Register!$T$18,0,I20*(1+Contract_Register!$M$18*Assumptions!$F$178)*IF(AND(Assumptions!J$201&gt;Contract_Register!$T$18,MOD(Assumptions!J$201-Contract_Register!$T$18,Assumptions!$C$90)=0),Contract_Register!$S$18,1)))</f>
        <v>111</v>
      </c>
      <c r="K20" s="67" t="n">
        <f aca="false">IF(K$5="A",Inputs_Actuals!K20,IF(Assumptions!K$201&lt;Contract_Register!$T$18,0,J20*(1+Contract_Register!$M$18*Assumptions!$F$178)*IF(AND(Assumptions!K$201&gt;Contract_Register!$T$18,MOD(Assumptions!K$201-Contract_Register!$T$18,Assumptions!$C$90)=0),Contract_Register!$S$18,1)))</f>
        <v>111</v>
      </c>
      <c r="L20" s="67" t="n">
        <f aca="false">IF(L$5="A",Inputs_Actuals!L20,IF(Assumptions!L$201&lt;Contract_Register!$T$18,0,K20*(1+Contract_Register!$M$18*Assumptions!$F$178)*IF(AND(Assumptions!L$201&gt;Contract_Register!$T$18,MOD(Assumptions!L$201-Contract_Register!$T$18,Assumptions!$C$90)=0),Contract_Register!$S$18,1)))</f>
        <v>111</v>
      </c>
      <c r="M20" s="67" t="n">
        <f aca="false">IF(M$5="A",Inputs_Actuals!M20,IF(Assumptions!M$201&lt;Contract_Register!$T$18,0,L20*(1+Contract_Register!$M$18*Assumptions!$F$178)*IF(AND(Assumptions!M$201&gt;Contract_Register!$T$18,MOD(Assumptions!M$201-Contract_Register!$T$18,Assumptions!$C$90)=0),Contract_Register!$S$18,1)))</f>
        <v>111.111</v>
      </c>
      <c r="N20" s="67" t="n">
        <f aca="false">IF(N$5="A",Inputs_Actuals!N20,IF(Assumptions!N$201&lt;Contract_Register!$T$18,0,M20*(1+Contract_Register!$M$18*Assumptions!$F$178)*IF(AND(Assumptions!N$201&gt;Contract_Register!$T$18,MOD(Assumptions!N$201-Contract_Register!$T$18,Assumptions!$C$90)=0),Contract_Register!$S$18,1)))</f>
        <v>111.222111</v>
      </c>
      <c r="O20" s="67" t="n">
        <f aca="false">IF(O$5="A",Inputs_Actuals!O20,IF(Assumptions!O$201&lt;Contract_Register!$T$18,0,N20*(1+Contract_Register!$M$18*Assumptions!$F$178)*IF(AND(Assumptions!O$201&gt;Contract_Register!$T$18,MOD(Assumptions!O$201-Contract_Register!$T$18,Assumptions!$C$90)=0),Contract_Register!$S$18,1)))</f>
        <v>103.53999979323</v>
      </c>
      <c r="P20" s="67" t="n">
        <f aca="false">IF(P$5="A",Inputs_Actuals!P20,IF(Assumptions!P$201&lt;Contract_Register!$T$18,0,O20*(1+Contract_Register!$M$18*Assumptions!$F$178)*IF(AND(Assumptions!P$201&gt;Contract_Register!$T$18,MOD(Assumptions!P$201-Contract_Register!$T$18,Assumptions!$C$90)=0),Contract_Register!$S$18,1)))</f>
        <v>103.643539793023</v>
      </c>
      <c r="Q20" s="67" t="n">
        <f aca="false">IF(Q$5="A",Inputs_Actuals!Q20,IF(Assumptions!Q$201&lt;Contract_Register!$T$18,0,P20*(1+Contract_Register!$M$18*Assumptions!$F$178)*IF(AND(Assumptions!Q$201&gt;Contract_Register!$T$18,MOD(Assumptions!Q$201-Contract_Register!$T$18,Assumptions!$C$90)=0),Contract_Register!$S$18,1)))</f>
        <v>103.747183332816</v>
      </c>
      <c r="R20" s="67" t="n">
        <f aca="false">IF(R$5="A",Inputs_Actuals!R20,IF(Assumptions!R$201&lt;Contract_Register!$T$18,0,Q20*(1+Contract_Register!$M$18*Assumptions!$F$178)*IF(AND(Assumptions!R$201&gt;Contract_Register!$T$18,MOD(Assumptions!R$201-Contract_Register!$T$18,Assumptions!$C$90)=0),Contract_Register!$S$18,1)))</f>
        <v>103.850930516149</v>
      </c>
      <c r="S20" s="67" t="n">
        <f aca="false">IF(S$5="A",Inputs_Actuals!S20,IF(Assumptions!S$201&lt;Contract_Register!$T$18,0,R20*(1+Contract_Register!$M$18*Assumptions!$F$178)*IF(AND(Assumptions!S$201&gt;Contract_Register!$T$18,MOD(Assumptions!S$201-Contract_Register!$T$18,Assumptions!$C$90)=0),Contract_Register!$S$18,1)))</f>
        <v>103.954781446665</v>
      </c>
      <c r="T20" s="67" t="n">
        <f aca="false">IF(T$5="A",Inputs_Actuals!T20,IF(Assumptions!T$201&lt;Contract_Register!$T$18,0,S20*(1+Contract_Register!$M$18*Assumptions!$F$178)*IF(AND(Assumptions!T$201&gt;Contract_Register!$T$18,MOD(Assumptions!T$201-Contract_Register!$T$18,Assumptions!$C$90)=0),Contract_Register!$S$18,1)))</f>
        <v>104.058736228112</v>
      </c>
      <c r="U20" s="67" t="n">
        <f aca="false">IF(U$5="A",Inputs_Actuals!U20,IF(Assumptions!U$201&lt;Contract_Register!$T$18,0,T20*(1+Contract_Register!$M$18*Assumptions!$F$178)*IF(AND(Assumptions!U$201&gt;Contract_Register!$T$18,MOD(Assumptions!U$201-Contract_Register!$T$18,Assumptions!$C$90)=0),Contract_Register!$S$18,1)))</f>
        <v>104.16279496434</v>
      </c>
      <c r="V20" s="67" t="n">
        <f aca="false">IF(V$5="A",Inputs_Actuals!V20,IF(Assumptions!V$201&lt;Contract_Register!$T$18,0,U20*(1+Contract_Register!$M$18*Assumptions!$F$178)*IF(AND(Assumptions!V$201&gt;Contract_Register!$T$18,MOD(Assumptions!V$201-Contract_Register!$T$18,Assumptions!$C$90)=0),Contract_Register!$S$18,1)))</f>
        <v>104.266957759304</v>
      </c>
      <c r="W20" s="67" t="n">
        <f aca="false">IF(W$5="A",Inputs_Actuals!W20,IF(Assumptions!W$201&lt;Contract_Register!$T$18,0,V20*(1+Contract_Register!$M$18*Assumptions!$F$178)*IF(AND(Assumptions!W$201&gt;Contract_Register!$T$18,MOD(Assumptions!W$201-Contract_Register!$T$18,Assumptions!$C$90)=0),Contract_Register!$S$18,1)))</f>
        <v>104.371224717064</v>
      </c>
      <c r="X20" s="67" t="n">
        <f aca="false">IF(X$5="A",Inputs_Actuals!X20,IF(Assumptions!X$201&lt;Contract_Register!$T$18,0,W20*(1+Contract_Register!$M$18*Assumptions!$F$178)*IF(AND(Assumptions!X$201&gt;Contract_Register!$T$18,MOD(Assumptions!X$201-Contract_Register!$T$18,Assumptions!$C$90)=0),Contract_Register!$S$18,1)))</f>
        <v>104.475595941781</v>
      </c>
      <c r="Y20" s="67" t="n">
        <f aca="false">IF(Y$5="A",Inputs_Actuals!Y20,IF(Assumptions!Y$201&lt;Contract_Register!$T$18,0,X20*(1+Contract_Register!$M$18*Assumptions!$F$178)*IF(AND(Assumptions!Y$201&gt;Contract_Register!$T$18,MOD(Assumptions!Y$201-Contract_Register!$T$18,Assumptions!$C$90)=0),Contract_Register!$S$18,1)))</f>
        <v>104.580071537722</v>
      </c>
      <c r="Z20" s="67" t="n">
        <f aca="false">IF(Z$5="A",Inputs_Actuals!Z20,IF(Assumptions!Z$201&lt;Contract_Register!$T$18,0,Y20*(1+Contract_Register!$M$18*Assumptions!$F$178)*IF(AND(Assumptions!Z$201&gt;Contract_Register!$T$18,MOD(Assumptions!Z$201-Contract_Register!$T$18,Assumptions!$C$90)=0),Contract_Register!$S$18,1)))</f>
        <v>104.68465160926</v>
      </c>
      <c r="AA20" s="67" t="n">
        <f aca="false">IF(AA$5="A",Inputs_Actuals!AA20,IF(Assumptions!AA$201&lt;Contract_Register!$T$18,0,Z20*(1+Contract_Register!$M$18*Assumptions!$F$178)*IF(AND(Assumptions!AA$201&gt;Contract_Register!$T$18,MOD(Assumptions!AA$201-Contract_Register!$T$18,Assumptions!$C$90)=0),Contract_Register!$S$18,1)))</f>
        <v>104.789336260869</v>
      </c>
      <c r="AB20" s="67" t="n">
        <f aca="false">IF(AB$5="A",Inputs_Actuals!AB20,IF(Assumptions!AB$201&lt;Contract_Register!$T$18,0,AA20*(1+Contract_Register!$M$18*Assumptions!$F$178)*IF(AND(Assumptions!AB$201&gt;Contract_Register!$T$18,MOD(Assumptions!AB$201-Contract_Register!$T$18,Assumptions!$C$90)=0),Contract_Register!$S$18,1)))</f>
        <v>104.89412559713</v>
      </c>
    </row>
    <row r="21" customFormat="false" ht="15" hidden="false" customHeight="false" outlineLevel="0" collapsed="false">
      <c r="A21" s="27" t="s">
        <v>786</v>
      </c>
      <c r="B21" s="63" t="s">
        <v>774</v>
      </c>
      <c r="C21" s="66" t="n">
        <f aca="false">P21</f>
        <v>71.855841673751</v>
      </c>
      <c r="D21" s="66" t="n">
        <f aca="false">AB21</f>
        <v>74.4857640625973</v>
      </c>
      <c r="E21" s="67" t="n">
        <f aca="false">IF(E$5="A",Inputs_Actuals!E21,IF(Assumptions!E$201&lt;Contract_Register!$T$19,0,Contract_Register!$I$19*(1+Contract_Register!$M$19*Assumptions!$F$178)*IF(AND(Assumptions!E$201&gt;Contract_Register!$T$19,MOD(Assumptions!E$201-Contract_Register!$T$19,Assumptions!$C$90)=0),Contract_Register!$S$19,1)))</f>
        <v>70</v>
      </c>
      <c r="F21" s="67" t="n">
        <f aca="false">IF(F$5="A",Inputs_Actuals!F21,IF(Assumptions!F$201&lt;Contract_Register!$T$19,0,E21*(1+Contract_Register!$M$19*Assumptions!$F$178)*IF(AND(Assumptions!F$201&gt;Contract_Register!$T$19,MOD(Assumptions!F$201-Contract_Register!$T$19,Assumptions!$C$90)=0),Contract_Register!$S$19,1)))</f>
        <v>70</v>
      </c>
      <c r="G21" s="67" t="n">
        <f aca="false">IF(G$5="A",Inputs_Actuals!G21,IF(Assumptions!G$201&lt;Contract_Register!$T$19,0,F21*(1+Contract_Register!$M$19*Assumptions!$F$178)*IF(AND(Assumptions!G$201&gt;Contract_Register!$T$19,MOD(Assumptions!G$201-Contract_Register!$T$19,Assumptions!$C$90)=0),Contract_Register!$S$19,1)))</f>
        <v>70</v>
      </c>
      <c r="H21" s="67" t="n">
        <f aca="false">IF(H$5="A",Inputs_Actuals!H21,IF(Assumptions!H$201&lt;Contract_Register!$T$19,0,G21*(1+Contract_Register!$M$19*Assumptions!$F$178)*IF(AND(Assumptions!H$201&gt;Contract_Register!$T$19,MOD(Assumptions!H$201-Contract_Register!$T$19,Assumptions!$C$90)=0),Contract_Register!$S$19,1)))</f>
        <v>71</v>
      </c>
      <c r="I21" s="67" t="n">
        <f aca="false">IF(I$5="A",Inputs_Actuals!I21,IF(Assumptions!I$201&lt;Contract_Register!$T$19,0,H21*(1+Contract_Register!$M$19*Assumptions!$F$178)*IF(AND(Assumptions!I$201&gt;Contract_Register!$T$19,MOD(Assumptions!I$201-Contract_Register!$T$19,Assumptions!$C$90)=0),Contract_Register!$S$19,1)))</f>
        <v>71</v>
      </c>
      <c r="J21" s="67" t="n">
        <f aca="false">IF(J$5="A",Inputs_Actuals!J21,IF(Assumptions!J$201&lt;Contract_Register!$T$19,0,I21*(1+Contract_Register!$M$19*Assumptions!$F$178)*IF(AND(Assumptions!J$201&gt;Contract_Register!$T$19,MOD(Assumptions!J$201-Contract_Register!$T$19,Assumptions!$C$90)=0),Contract_Register!$S$19,1)))</f>
        <v>71</v>
      </c>
      <c r="K21" s="67" t="n">
        <f aca="false">IF(K$5="A",Inputs_Actuals!K21,IF(Assumptions!K$201&lt;Contract_Register!$T$19,0,J21*(1+Contract_Register!$M$19*Assumptions!$F$178)*IF(AND(Assumptions!K$201&gt;Contract_Register!$T$19,MOD(Assumptions!K$201-Contract_Register!$T$19,Assumptions!$C$90)=0),Contract_Register!$S$19,1)))</f>
        <v>71</v>
      </c>
      <c r="L21" s="67" t="n">
        <f aca="false">IF(L$5="A",Inputs_Actuals!L21,IF(Assumptions!L$201&lt;Contract_Register!$T$19,0,K21*(1+Contract_Register!$M$19*Assumptions!$F$178)*IF(AND(Assumptions!L$201&gt;Contract_Register!$T$19,MOD(Assumptions!L$201-Contract_Register!$T$19,Assumptions!$C$90)=0),Contract_Register!$S$19,1)))</f>
        <v>71</v>
      </c>
      <c r="M21" s="67" t="n">
        <f aca="false">IF(M$5="A",Inputs_Actuals!M21,IF(Assumptions!M$201&lt;Contract_Register!$T$19,0,L21*(1+Contract_Register!$M$19*Assumptions!$F$178)*IF(AND(Assumptions!M$201&gt;Contract_Register!$T$19,MOD(Assumptions!M$201-Contract_Register!$T$19,Assumptions!$C$90)=0),Contract_Register!$S$19,1)))</f>
        <v>71.213</v>
      </c>
      <c r="N21" s="67" t="n">
        <f aca="false">IF(N$5="A",Inputs_Actuals!N21,IF(Assumptions!N$201&lt;Contract_Register!$T$19,0,M21*(1+Contract_Register!$M$19*Assumptions!$F$178)*IF(AND(Assumptions!N$201&gt;Contract_Register!$T$19,MOD(Assumptions!N$201-Contract_Register!$T$19,Assumptions!$C$90)=0),Contract_Register!$S$19,1)))</f>
        <v>71.426639</v>
      </c>
      <c r="O21" s="67" t="n">
        <f aca="false">IF(O$5="A",Inputs_Actuals!O21,IF(Assumptions!O$201&lt;Contract_Register!$T$19,0,N21*(1+Contract_Register!$M$19*Assumptions!$F$178)*IF(AND(Assumptions!O$201&gt;Contract_Register!$T$19,MOD(Assumptions!O$201-Contract_Register!$T$19,Assumptions!$C$90)=0),Contract_Register!$S$19,1)))</f>
        <v>71.640918917</v>
      </c>
      <c r="P21" s="67" t="n">
        <f aca="false">IF(P$5="A",Inputs_Actuals!P21,IF(Assumptions!P$201&lt;Contract_Register!$T$19,0,O21*(1+Contract_Register!$M$19*Assumptions!$F$178)*IF(AND(Assumptions!P$201&gt;Contract_Register!$T$19,MOD(Assumptions!P$201-Contract_Register!$T$19,Assumptions!$C$90)=0),Contract_Register!$S$19,1)))</f>
        <v>71.855841673751</v>
      </c>
      <c r="Q21" s="67" t="n">
        <f aca="false">IF(Q$5="A",Inputs_Actuals!Q21,IF(Assumptions!Q$201&lt;Contract_Register!$T$19,0,P21*(1+Contract_Register!$M$19*Assumptions!$F$178)*IF(AND(Assumptions!Q$201&gt;Contract_Register!$T$19,MOD(Assumptions!Q$201-Contract_Register!$T$19,Assumptions!$C$90)=0),Contract_Register!$S$19,1)))</f>
        <v>72.0714091987722</v>
      </c>
      <c r="R21" s="67" t="n">
        <f aca="false">IF(R$5="A",Inputs_Actuals!R21,IF(Assumptions!R$201&lt;Contract_Register!$T$19,0,Q21*(1+Contract_Register!$M$19*Assumptions!$F$178)*IF(AND(Assumptions!R$201&gt;Contract_Register!$T$19,MOD(Assumptions!R$201-Contract_Register!$T$19,Assumptions!$C$90)=0),Contract_Register!$S$19,1)))</f>
        <v>72.2876234263685</v>
      </c>
      <c r="S21" s="67" t="n">
        <f aca="false">IF(S$5="A",Inputs_Actuals!S21,IF(Assumptions!S$201&lt;Contract_Register!$T$19,0,R21*(1+Contract_Register!$M$19*Assumptions!$F$178)*IF(AND(Assumptions!S$201&gt;Contract_Register!$T$19,MOD(Assumptions!S$201-Contract_Register!$T$19,Assumptions!$C$90)=0),Contract_Register!$S$19,1)))</f>
        <v>72.5044862966476</v>
      </c>
      <c r="T21" s="67" t="n">
        <f aca="false">IF(T$5="A",Inputs_Actuals!T21,IF(Assumptions!T$201&lt;Contract_Register!$T$19,0,S21*(1+Contract_Register!$M$19*Assumptions!$F$178)*IF(AND(Assumptions!T$201&gt;Contract_Register!$T$19,MOD(Assumptions!T$201-Contract_Register!$T$19,Assumptions!$C$90)=0),Contract_Register!$S$19,1)))</f>
        <v>72.7219997555376</v>
      </c>
      <c r="U21" s="67" t="n">
        <f aca="false">IF(U$5="A",Inputs_Actuals!U21,IF(Assumptions!U$201&lt;Contract_Register!$T$19,0,T21*(1+Contract_Register!$M$19*Assumptions!$F$178)*IF(AND(Assumptions!U$201&gt;Contract_Register!$T$19,MOD(Assumptions!U$201-Contract_Register!$T$19,Assumptions!$C$90)=0),Contract_Register!$S$19,1)))</f>
        <v>72.9401657548042</v>
      </c>
      <c r="V21" s="67" t="n">
        <f aca="false">IF(V$5="A",Inputs_Actuals!V21,IF(Assumptions!V$201&lt;Contract_Register!$T$19,0,U21*(1+Contract_Register!$M$19*Assumptions!$F$178)*IF(AND(Assumptions!V$201&gt;Contract_Register!$T$19,MOD(Assumptions!V$201-Contract_Register!$T$19,Assumptions!$C$90)=0),Contract_Register!$S$19,1)))</f>
        <v>73.1589862520686</v>
      </c>
      <c r="W21" s="67" t="n">
        <f aca="false">IF(W$5="A",Inputs_Actuals!W21,IF(Assumptions!W$201&lt;Contract_Register!$T$19,0,V21*(1+Contract_Register!$M$19*Assumptions!$F$178)*IF(AND(Assumptions!W$201&gt;Contract_Register!$T$19,MOD(Assumptions!W$201-Contract_Register!$T$19,Assumptions!$C$90)=0),Contract_Register!$S$19,1)))</f>
        <v>73.3784632108248</v>
      </c>
      <c r="X21" s="67" t="n">
        <f aca="false">IF(X$5="A",Inputs_Actuals!X21,IF(Assumptions!X$201&lt;Contract_Register!$T$19,0,W21*(1+Contract_Register!$M$19*Assumptions!$F$178)*IF(AND(Assumptions!X$201&gt;Contract_Register!$T$19,MOD(Assumptions!X$201-Contract_Register!$T$19,Assumptions!$C$90)=0),Contract_Register!$S$19,1)))</f>
        <v>73.5985986004572</v>
      </c>
      <c r="Y21" s="67" t="n">
        <f aca="false">IF(Y$5="A",Inputs_Actuals!Y21,IF(Assumptions!Y$201&lt;Contract_Register!$T$19,0,X21*(1+Contract_Register!$M$19*Assumptions!$F$178)*IF(AND(Assumptions!Y$201&gt;Contract_Register!$T$19,MOD(Assumptions!Y$201-Contract_Register!$T$19,Assumptions!$C$90)=0),Contract_Register!$S$19,1)))</f>
        <v>73.8193943962586</v>
      </c>
      <c r="Z21" s="67" t="n">
        <f aca="false">IF(Z$5="A",Inputs_Actuals!Z21,IF(Assumptions!Z$201&lt;Contract_Register!$T$19,0,Y21*(1+Contract_Register!$M$19*Assumptions!$F$178)*IF(AND(Assumptions!Z$201&gt;Contract_Register!$T$19,MOD(Assumptions!Z$201-Contract_Register!$T$19,Assumptions!$C$90)=0),Contract_Register!$S$19,1)))</f>
        <v>74.0408525794474</v>
      </c>
      <c r="AA21" s="67" t="n">
        <f aca="false">IF(AA$5="A",Inputs_Actuals!AA21,IF(Assumptions!AA$201&lt;Contract_Register!$T$19,0,Z21*(1+Contract_Register!$M$19*Assumptions!$F$178)*IF(AND(Assumptions!AA$201&gt;Contract_Register!$T$19,MOD(Assumptions!AA$201-Contract_Register!$T$19,Assumptions!$C$90)=0),Contract_Register!$S$19,1)))</f>
        <v>74.2629751371857</v>
      </c>
      <c r="AB21" s="67" t="n">
        <f aca="false">IF(AB$5="A",Inputs_Actuals!AB21,IF(Assumptions!AB$201&lt;Contract_Register!$T$19,0,AA21*(1+Contract_Register!$M$19*Assumptions!$F$178)*IF(AND(Assumptions!AB$201&gt;Contract_Register!$T$19,MOD(Assumptions!AB$201-Contract_Register!$T$19,Assumptions!$C$90)=0),Contract_Register!$S$19,1)))</f>
        <v>74.4857640625973</v>
      </c>
    </row>
    <row r="22" customFormat="false" ht="15" hidden="false" customHeight="false" outlineLevel="0" collapsed="false">
      <c r="A22" s="27" t="s">
        <v>787</v>
      </c>
      <c r="B22" s="63" t="s">
        <v>774</v>
      </c>
      <c r="C22" s="66" t="n">
        <f aca="false">P22</f>
        <v>92.738210945472</v>
      </c>
      <c r="D22" s="66" t="n">
        <f aca="false">AB22</f>
        <v>94.9885748519467</v>
      </c>
      <c r="E22" s="67" t="n">
        <f aca="false">IF(E$5="A",Inputs_Actuals!E22,IF(Assumptions!E$201&lt;Contract_Register!$T$20,0,Contract_Register!$I$20*(1+Contract_Register!$M$20*Assumptions!$F$178)*IF(AND(Assumptions!E$201&gt;Contract_Register!$T$20,MOD(Assumptions!E$201-Contract_Register!$T$20,Assumptions!$C$90)=0),Contract_Register!$S$20,1)))</f>
        <v>90</v>
      </c>
      <c r="F22" s="67" t="n">
        <f aca="false">IF(F$5="A",Inputs_Actuals!F22,IF(Assumptions!F$201&lt;Contract_Register!$T$20,0,E22*(1+Contract_Register!$M$20*Assumptions!$F$178)*IF(AND(Assumptions!F$201&gt;Contract_Register!$T$20,MOD(Assumptions!F$201-Contract_Register!$T$20,Assumptions!$C$90)=0),Contract_Register!$S$20,1)))</f>
        <v>91</v>
      </c>
      <c r="G22" s="67" t="n">
        <f aca="false">IF(G$5="A",Inputs_Actuals!G22,IF(Assumptions!G$201&lt;Contract_Register!$T$20,0,F22*(1+Contract_Register!$M$20*Assumptions!$F$178)*IF(AND(Assumptions!G$201&gt;Contract_Register!$T$20,MOD(Assumptions!G$201-Contract_Register!$T$20,Assumptions!$C$90)=0),Contract_Register!$S$20,1)))</f>
        <v>91</v>
      </c>
      <c r="H22" s="67" t="n">
        <f aca="false">IF(H$5="A",Inputs_Actuals!H22,IF(Assumptions!H$201&lt;Contract_Register!$T$20,0,G22*(1+Contract_Register!$M$20*Assumptions!$F$178)*IF(AND(Assumptions!H$201&gt;Contract_Register!$T$20,MOD(Assumptions!H$201-Contract_Register!$T$20,Assumptions!$C$90)=0),Contract_Register!$S$20,1)))</f>
        <v>91</v>
      </c>
      <c r="I22" s="67" t="n">
        <f aca="false">IF(I$5="A",Inputs_Actuals!I22,IF(Assumptions!I$201&lt;Contract_Register!$T$20,0,H22*(1+Contract_Register!$M$20*Assumptions!$F$178)*IF(AND(Assumptions!I$201&gt;Contract_Register!$T$20,MOD(Assumptions!I$201-Contract_Register!$T$20,Assumptions!$C$90)=0),Contract_Register!$S$20,1)))</f>
        <v>92</v>
      </c>
      <c r="J22" s="67" t="n">
        <f aca="false">IF(J$5="A",Inputs_Actuals!J22,IF(Assumptions!J$201&lt;Contract_Register!$T$20,0,I22*(1+Contract_Register!$M$20*Assumptions!$F$178)*IF(AND(Assumptions!J$201&gt;Contract_Register!$T$20,MOD(Assumptions!J$201-Contract_Register!$T$20,Assumptions!$C$90)=0),Contract_Register!$S$20,1)))</f>
        <v>92</v>
      </c>
      <c r="K22" s="67" t="n">
        <f aca="false">IF(K$5="A",Inputs_Actuals!K22,IF(Assumptions!K$201&lt;Contract_Register!$T$20,0,J22*(1+Contract_Register!$M$20*Assumptions!$F$178)*IF(AND(Assumptions!K$201&gt;Contract_Register!$T$20,MOD(Assumptions!K$201-Contract_Register!$T$20,Assumptions!$C$90)=0),Contract_Register!$S$20,1)))</f>
        <v>92</v>
      </c>
      <c r="L22" s="67" t="n">
        <f aca="false">IF(L$5="A",Inputs_Actuals!L22,IF(Assumptions!L$201&lt;Contract_Register!$T$20,0,K22*(1+Contract_Register!$M$20*Assumptions!$F$178)*IF(AND(Assumptions!L$201&gt;Contract_Register!$T$20,MOD(Assumptions!L$201-Contract_Register!$T$20,Assumptions!$C$90)=0),Contract_Register!$S$20,1)))</f>
        <v>92</v>
      </c>
      <c r="M22" s="67" t="n">
        <f aca="false">IF(M$5="A",Inputs_Actuals!M22,IF(Assumptions!M$201&lt;Contract_Register!$T$20,0,L22*(1+Contract_Register!$M$20*Assumptions!$F$178)*IF(AND(Assumptions!M$201&gt;Contract_Register!$T$20,MOD(Assumptions!M$201-Contract_Register!$T$20,Assumptions!$C$90)=0),Contract_Register!$S$20,1)))</f>
        <v>92.184</v>
      </c>
      <c r="N22" s="67" t="n">
        <f aca="false">IF(N$5="A",Inputs_Actuals!N22,IF(Assumptions!N$201&lt;Contract_Register!$T$20,0,M22*(1+Contract_Register!$M$20*Assumptions!$F$178)*IF(AND(Assumptions!N$201&gt;Contract_Register!$T$20,MOD(Assumptions!N$201-Contract_Register!$T$20,Assumptions!$C$90)=0),Contract_Register!$S$20,1)))</f>
        <v>92.368368</v>
      </c>
      <c r="O22" s="67" t="n">
        <f aca="false">IF(O$5="A",Inputs_Actuals!O22,IF(Assumptions!O$201&lt;Contract_Register!$T$20,0,N22*(1+Contract_Register!$M$20*Assumptions!$F$178)*IF(AND(Assumptions!O$201&gt;Contract_Register!$T$20,MOD(Assumptions!O$201-Contract_Register!$T$20,Assumptions!$C$90)=0),Contract_Register!$S$20,1)))</f>
        <v>92.553104736</v>
      </c>
      <c r="P22" s="67" t="n">
        <f aca="false">IF(P$5="A",Inputs_Actuals!P22,IF(Assumptions!P$201&lt;Contract_Register!$T$20,0,O22*(1+Contract_Register!$M$20*Assumptions!$F$178)*IF(AND(Assumptions!P$201&gt;Contract_Register!$T$20,MOD(Assumptions!P$201-Contract_Register!$T$20,Assumptions!$C$90)=0),Contract_Register!$S$20,1)))</f>
        <v>92.738210945472</v>
      </c>
      <c r="Q22" s="67" t="n">
        <f aca="false">IF(Q$5="A",Inputs_Actuals!Q22,IF(Assumptions!Q$201&lt;Contract_Register!$T$20,0,P22*(1+Contract_Register!$M$20*Assumptions!$F$178)*IF(AND(Assumptions!Q$201&gt;Contract_Register!$T$20,MOD(Assumptions!Q$201-Contract_Register!$T$20,Assumptions!$C$90)=0),Contract_Register!$S$20,1)))</f>
        <v>92.9236873673629</v>
      </c>
      <c r="R22" s="67" t="n">
        <f aca="false">IF(R$5="A",Inputs_Actuals!R22,IF(Assumptions!R$201&lt;Contract_Register!$T$20,0,Q22*(1+Contract_Register!$M$20*Assumptions!$F$178)*IF(AND(Assumptions!R$201&gt;Contract_Register!$T$20,MOD(Assumptions!R$201-Contract_Register!$T$20,Assumptions!$C$90)=0),Contract_Register!$S$20,1)))</f>
        <v>93.1095347420977</v>
      </c>
      <c r="S22" s="67" t="n">
        <f aca="false">IF(S$5="A",Inputs_Actuals!S22,IF(Assumptions!S$201&lt;Contract_Register!$T$20,0,R22*(1+Contract_Register!$M$20*Assumptions!$F$178)*IF(AND(Assumptions!S$201&gt;Contract_Register!$T$20,MOD(Assumptions!S$201-Contract_Register!$T$20,Assumptions!$C$90)=0),Contract_Register!$S$20,1)))</f>
        <v>93.2957538115819</v>
      </c>
      <c r="T22" s="67" t="n">
        <f aca="false">IF(T$5="A",Inputs_Actuals!T22,IF(Assumptions!T$201&lt;Contract_Register!$T$20,0,S22*(1+Contract_Register!$M$20*Assumptions!$F$178)*IF(AND(Assumptions!T$201&gt;Contract_Register!$T$20,MOD(Assumptions!T$201-Contract_Register!$T$20,Assumptions!$C$90)=0),Contract_Register!$S$20,1)))</f>
        <v>93.482345319205</v>
      </c>
      <c r="U22" s="67" t="n">
        <f aca="false">IF(U$5="A",Inputs_Actuals!U22,IF(Assumptions!U$201&lt;Contract_Register!$T$20,0,T22*(1+Contract_Register!$M$20*Assumptions!$F$178)*IF(AND(Assumptions!U$201&gt;Contract_Register!$T$20,MOD(Assumptions!U$201-Contract_Register!$T$20,Assumptions!$C$90)=0),Contract_Register!$S$20,1)))</f>
        <v>93.6693100098434</v>
      </c>
      <c r="V22" s="67" t="n">
        <f aca="false">IF(V$5="A",Inputs_Actuals!V22,IF(Assumptions!V$201&lt;Contract_Register!$T$20,0,U22*(1+Contract_Register!$M$20*Assumptions!$F$178)*IF(AND(Assumptions!V$201&gt;Contract_Register!$T$20,MOD(Assumptions!V$201-Contract_Register!$T$20,Assumptions!$C$90)=0),Contract_Register!$S$20,1)))</f>
        <v>93.8566486298631</v>
      </c>
      <c r="W22" s="67" t="n">
        <f aca="false">IF(W$5="A",Inputs_Actuals!W22,IF(Assumptions!W$201&lt;Contract_Register!$T$20,0,V22*(1+Contract_Register!$M$20*Assumptions!$F$178)*IF(AND(Assumptions!W$201&gt;Contract_Register!$T$20,MOD(Assumptions!W$201-Contract_Register!$T$20,Assumptions!$C$90)=0),Contract_Register!$S$20,1)))</f>
        <v>94.0443619271228</v>
      </c>
      <c r="X22" s="67" t="n">
        <f aca="false">IF(X$5="A",Inputs_Actuals!X22,IF(Assumptions!X$201&lt;Contract_Register!$T$20,0,W22*(1+Contract_Register!$M$20*Assumptions!$F$178)*IF(AND(Assumptions!X$201&gt;Contract_Register!$T$20,MOD(Assumptions!X$201-Contract_Register!$T$20,Assumptions!$C$90)=0),Contract_Register!$S$20,1)))</f>
        <v>94.2324506509771</v>
      </c>
      <c r="Y22" s="67" t="n">
        <f aca="false">IF(Y$5="A",Inputs_Actuals!Y22,IF(Assumptions!Y$201&lt;Contract_Register!$T$20,0,X22*(1+Contract_Register!$M$20*Assumptions!$F$178)*IF(AND(Assumptions!Y$201&gt;Contract_Register!$T$20,MOD(Assumptions!Y$201-Contract_Register!$T$20,Assumptions!$C$90)=0),Contract_Register!$S$20,1)))</f>
        <v>94.420915552279</v>
      </c>
      <c r="Z22" s="67" t="n">
        <f aca="false">IF(Z$5="A",Inputs_Actuals!Z22,IF(Assumptions!Z$201&lt;Contract_Register!$T$20,0,Y22*(1+Contract_Register!$M$20*Assumptions!$F$178)*IF(AND(Assumptions!Z$201&gt;Contract_Register!$T$20,MOD(Assumptions!Z$201-Contract_Register!$T$20,Assumptions!$C$90)=0),Contract_Register!$S$20,1)))</f>
        <v>94.6097573833836</v>
      </c>
      <c r="AA22" s="67" t="n">
        <f aca="false">IF(AA$5="A",Inputs_Actuals!AA22,IF(Assumptions!AA$201&lt;Contract_Register!$T$20,0,Z22*(1+Contract_Register!$M$20*Assumptions!$F$178)*IF(AND(Assumptions!AA$201&gt;Contract_Register!$T$20,MOD(Assumptions!AA$201-Contract_Register!$T$20,Assumptions!$C$90)=0),Contract_Register!$S$20,1)))</f>
        <v>94.7989768981504</v>
      </c>
      <c r="AB22" s="67" t="n">
        <f aca="false">IF(AB$5="A",Inputs_Actuals!AB22,IF(Assumptions!AB$201&lt;Contract_Register!$T$20,0,AA22*(1+Contract_Register!$M$20*Assumptions!$F$178)*IF(AND(Assumptions!AB$201&gt;Contract_Register!$T$20,MOD(Assumptions!AB$201-Contract_Register!$T$20,Assumptions!$C$90)=0),Contract_Register!$S$20,1)))</f>
        <v>94.9885748519467</v>
      </c>
    </row>
    <row r="23" customFormat="false" ht="15" hidden="false" customHeight="false" outlineLevel="0" collapsed="false">
      <c r="A23" s="27" t="s">
        <v>788</v>
      </c>
      <c r="B23" s="63" t="s">
        <v>774</v>
      </c>
      <c r="C23" s="66" t="n">
        <f aca="false">P23</f>
        <v>78.940220430318</v>
      </c>
      <c r="D23" s="66" t="n">
        <f aca="false">AB23</f>
        <v>76.9196650854877</v>
      </c>
      <c r="E23" s="67" t="n">
        <f aca="false">IF(E$5="A",Inputs_Actuals!E23,IF(Assumptions!E$201&lt;Contract_Register!$T$21,0,Contract_Register!$I$21*(1+Contract_Register!$M$21*Assumptions!$F$178)*IF(AND(Assumptions!E$201&gt;Contract_Register!$T$21,MOD(Assumptions!E$201-Contract_Register!$T$21,Assumptions!$C$90)=0),Contract_Register!$S$21,1)))</f>
        <v>75</v>
      </c>
      <c r="F23" s="67" t="n">
        <f aca="false">IF(F$5="A",Inputs_Actuals!F23,IF(Assumptions!F$201&lt;Contract_Register!$T$21,0,E23*(1+Contract_Register!$M$21*Assumptions!$F$178)*IF(AND(Assumptions!F$201&gt;Contract_Register!$T$21,MOD(Assumptions!F$201-Contract_Register!$T$21,Assumptions!$C$90)=0),Contract_Register!$S$21,1)))</f>
        <v>76</v>
      </c>
      <c r="G23" s="67" t="n">
        <f aca="false">IF(G$5="A",Inputs_Actuals!G23,IF(Assumptions!G$201&lt;Contract_Register!$T$21,0,F23*(1+Contract_Register!$M$21*Assumptions!$F$178)*IF(AND(Assumptions!G$201&gt;Contract_Register!$T$21,MOD(Assumptions!G$201-Contract_Register!$T$21,Assumptions!$C$90)=0),Contract_Register!$S$21,1)))</f>
        <v>76</v>
      </c>
      <c r="H23" s="67" t="n">
        <f aca="false">IF(H$5="A",Inputs_Actuals!H23,IF(Assumptions!H$201&lt;Contract_Register!$T$21,0,G23*(1+Contract_Register!$M$21*Assumptions!$F$178)*IF(AND(Assumptions!H$201&gt;Contract_Register!$T$21,MOD(Assumptions!H$201-Contract_Register!$T$21,Assumptions!$C$90)=0),Contract_Register!$S$21,1)))</f>
        <v>77</v>
      </c>
      <c r="I23" s="67" t="n">
        <f aca="false">IF(I$5="A",Inputs_Actuals!I23,IF(Assumptions!I$201&lt;Contract_Register!$T$21,0,H23*(1+Contract_Register!$M$21*Assumptions!$F$178)*IF(AND(Assumptions!I$201&gt;Contract_Register!$T$21,MOD(Assumptions!I$201-Contract_Register!$T$21,Assumptions!$C$90)=0),Contract_Register!$S$21,1)))</f>
        <v>77</v>
      </c>
      <c r="J23" s="67" t="n">
        <f aca="false">IF(J$5="A",Inputs_Actuals!J23,IF(Assumptions!J$201&lt;Contract_Register!$T$21,0,I23*(1+Contract_Register!$M$21*Assumptions!$F$178)*IF(AND(Assumptions!J$201&gt;Contract_Register!$T$21,MOD(Assumptions!J$201-Contract_Register!$T$21,Assumptions!$C$90)=0),Contract_Register!$S$21,1)))</f>
        <v>77</v>
      </c>
      <c r="K23" s="67" t="n">
        <f aca="false">IF(K$5="A",Inputs_Actuals!K23,IF(Assumptions!K$201&lt;Contract_Register!$T$21,0,J23*(1+Contract_Register!$M$21*Assumptions!$F$178)*IF(AND(Assumptions!K$201&gt;Contract_Register!$T$21,MOD(Assumptions!K$201-Contract_Register!$T$21,Assumptions!$C$90)=0),Contract_Register!$S$21,1)))</f>
        <v>77</v>
      </c>
      <c r="L23" s="67" t="n">
        <f aca="false">IF(L$5="A",Inputs_Actuals!L23,IF(Assumptions!L$201&lt;Contract_Register!$T$21,0,K23*(1+Contract_Register!$M$21*Assumptions!$F$178)*IF(AND(Assumptions!L$201&gt;Contract_Register!$T$21,MOD(Assumptions!L$201-Contract_Register!$T$21,Assumptions!$C$90)=0),Contract_Register!$S$21,1)))</f>
        <v>78</v>
      </c>
      <c r="M23" s="67" t="n">
        <f aca="false">IF(M$5="A",Inputs_Actuals!M23,IF(Assumptions!M$201&lt;Contract_Register!$T$21,0,L23*(1+Contract_Register!$M$21*Assumptions!$F$178)*IF(AND(Assumptions!M$201&gt;Contract_Register!$T$21,MOD(Assumptions!M$201-Contract_Register!$T$21,Assumptions!$C$90)=0),Contract_Register!$S$21,1)))</f>
        <v>78.234</v>
      </c>
      <c r="N23" s="67" t="n">
        <f aca="false">IF(N$5="A",Inputs_Actuals!N23,IF(Assumptions!N$201&lt;Contract_Register!$T$21,0,M23*(1+Contract_Register!$M$21*Assumptions!$F$178)*IF(AND(Assumptions!N$201&gt;Contract_Register!$T$21,MOD(Assumptions!N$201-Contract_Register!$T$21,Assumptions!$C$90)=0),Contract_Register!$S$21,1)))</f>
        <v>78.468702</v>
      </c>
      <c r="O23" s="67" t="n">
        <f aca="false">IF(O$5="A",Inputs_Actuals!O23,IF(Assumptions!O$201&lt;Contract_Register!$T$21,0,N23*(1+Contract_Register!$M$21*Assumptions!$F$178)*IF(AND(Assumptions!O$201&gt;Contract_Register!$T$21,MOD(Assumptions!O$201-Contract_Register!$T$21,Assumptions!$C$90)=0),Contract_Register!$S$21,1)))</f>
        <v>78.704108106</v>
      </c>
      <c r="P23" s="67" t="n">
        <f aca="false">IF(P$5="A",Inputs_Actuals!P23,IF(Assumptions!P$201&lt;Contract_Register!$T$21,0,O23*(1+Contract_Register!$M$21*Assumptions!$F$178)*IF(AND(Assumptions!P$201&gt;Contract_Register!$T$21,MOD(Assumptions!P$201-Contract_Register!$T$21,Assumptions!$C$90)=0),Contract_Register!$S$21,1)))</f>
        <v>78.940220430318</v>
      </c>
      <c r="Q23" s="67" t="n">
        <f aca="false">IF(Q$5="A",Inputs_Actuals!Q23,IF(Assumptions!Q$201&lt;Contract_Register!$T$21,0,P23*(1+Contract_Register!$M$21*Assumptions!$F$178)*IF(AND(Assumptions!Q$201&gt;Contract_Register!$T$21,MOD(Assumptions!Q$201-Contract_Register!$T$21,Assumptions!$C$90)=0),Contract_Register!$S$21,1)))</f>
        <v>79.1770410916089</v>
      </c>
      <c r="R23" s="67" t="n">
        <f aca="false">IF(R$5="A",Inputs_Actuals!R23,IF(Assumptions!R$201&lt;Contract_Register!$T$21,0,Q23*(1+Contract_Register!$M$21*Assumptions!$F$178)*IF(AND(Assumptions!R$201&gt;Contract_Register!$T$21,MOD(Assumptions!R$201-Contract_Register!$T$21,Assumptions!$C$90)=0),Contract_Register!$S$21,1)))</f>
        <v>79.4145722148837</v>
      </c>
      <c r="S23" s="67" t="n">
        <f aca="false">IF(S$5="A",Inputs_Actuals!S23,IF(Assumptions!S$201&lt;Contract_Register!$T$21,0,R23*(1+Contract_Register!$M$21*Assumptions!$F$178)*IF(AND(Assumptions!S$201&gt;Contract_Register!$T$21,MOD(Assumptions!S$201-Contract_Register!$T$21,Assumptions!$C$90)=0),Contract_Register!$S$21,1)))</f>
        <v>79.6528159315284</v>
      </c>
      <c r="T23" s="67" t="n">
        <f aca="false">IF(T$5="A",Inputs_Actuals!T23,IF(Assumptions!T$201&lt;Contract_Register!$T$21,0,S23*(1+Contract_Register!$M$21*Assumptions!$F$178)*IF(AND(Assumptions!T$201&gt;Contract_Register!$T$21,MOD(Assumptions!T$201-Contract_Register!$T$21,Assumptions!$C$90)=0),Contract_Register!$S$21,1)))</f>
        <v>79.8917743793229</v>
      </c>
      <c r="U23" s="67" t="n">
        <f aca="false">IF(U$5="A",Inputs_Actuals!U23,IF(Assumptions!U$201&lt;Contract_Register!$T$21,0,T23*(1+Contract_Register!$M$21*Assumptions!$F$178)*IF(AND(Assumptions!U$201&gt;Contract_Register!$T$21,MOD(Assumptions!U$201-Contract_Register!$T$21,Assumptions!$C$90)=0),Contract_Register!$S$21,1)))</f>
        <v>75.3235627203132</v>
      </c>
      <c r="V23" s="67" t="n">
        <f aca="false">IF(V$5="A",Inputs_Actuals!V23,IF(Assumptions!V$201&lt;Contract_Register!$T$21,0,U23*(1+Contract_Register!$M$21*Assumptions!$F$178)*IF(AND(Assumptions!V$201&gt;Contract_Register!$T$21,MOD(Assumptions!V$201-Contract_Register!$T$21,Assumptions!$C$90)=0),Contract_Register!$S$21,1)))</f>
        <v>75.5495334084742</v>
      </c>
      <c r="W23" s="67" t="n">
        <f aca="false">IF(W$5="A",Inputs_Actuals!W23,IF(Assumptions!W$201&lt;Contract_Register!$T$21,0,V23*(1+Contract_Register!$M$21*Assumptions!$F$178)*IF(AND(Assumptions!W$201&gt;Contract_Register!$T$21,MOD(Assumptions!W$201-Contract_Register!$T$21,Assumptions!$C$90)=0),Contract_Register!$S$21,1)))</f>
        <v>75.7761820086996</v>
      </c>
      <c r="X23" s="67" t="n">
        <f aca="false">IF(X$5="A",Inputs_Actuals!X23,IF(Assumptions!X$201&lt;Contract_Register!$T$21,0,W23*(1+Contract_Register!$M$21*Assumptions!$F$178)*IF(AND(Assumptions!X$201&gt;Contract_Register!$T$21,MOD(Assumptions!X$201-Contract_Register!$T$21,Assumptions!$C$90)=0),Contract_Register!$S$21,1)))</f>
        <v>76.0035105547257</v>
      </c>
      <c r="Y23" s="67" t="n">
        <f aca="false">IF(Y$5="A",Inputs_Actuals!Y23,IF(Assumptions!Y$201&lt;Contract_Register!$T$21,0,X23*(1+Contract_Register!$M$21*Assumptions!$F$178)*IF(AND(Assumptions!Y$201&gt;Contract_Register!$T$21,MOD(Assumptions!Y$201-Contract_Register!$T$21,Assumptions!$C$90)=0),Contract_Register!$S$21,1)))</f>
        <v>76.2315210863898</v>
      </c>
      <c r="Z23" s="67" t="n">
        <f aca="false">IF(Z$5="A",Inputs_Actuals!Z23,IF(Assumptions!Z$201&lt;Contract_Register!$T$21,0,Y23*(1+Contract_Register!$M$21*Assumptions!$F$178)*IF(AND(Assumptions!Z$201&gt;Contract_Register!$T$21,MOD(Assumptions!Z$201-Contract_Register!$T$21,Assumptions!$C$90)=0),Contract_Register!$S$21,1)))</f>
        <v>76.460215649649</v>
      </c>
      <c r="AA23" s="67" t="n">
        <f aca="false">IF(AA$5="A",Inputs_Actuals!AA23,IF(Assumptions!AA$201&lt;Contract_Register!$T$21,0,Z23*(1+Contract_Register!$M$21*Assumptions!$F$178)*IF(AND(Assumptions!AA$201&gt;Contract_Register!$T$21,MOD(Assumptions!AA$201-Contract_Register!$T$21,Assumptions!$C$90)=0),Contract_Register!$S$21,1)))</f>
        <v>76.6895962965979</v>
      </c>
      <c r="AB23" s="67" t="n">
        <f aca="false">IF(AB$5="A",Inputs_Actuals!AB23,IF(Assumptions!AB$201&lt;Contract_Register!$T$21,0,AA23*(1+Contract_Register!$M$21*Assumptions!$F$178)*IF(AND(Assumptions!AB$201&gt;Contract_Register!$T$21,MOD(Assumptions!AB$201-Contract_Register!$T$21,Assumptions!$C$90)=0),Contract_Register!$S$21,1)))</f>
        <v>76.9196650854877</v>
      </c>
    </row>
    <row r="24" customFormat="false" ht="15" hidden="false" customHeight="false" outlineLevel="0" collapsed="false">
      <c r="A24" s="27" t="s">
        <v>789</v>
      </c>
      <c r="B24" s="63" t="s">
        <v>774</v>
      </c>
      <c r="C24" s="66" t="n">
        <f aca="false">P24</f>
        <v>149.637054836309</v>
      </c>
      <c r="D24" s="66" t="n">
        <f aca="false">AB24</f>
        <v>151.442608534305</v>
      </c>
      <c r="E24" s="67" t="n">
        <f aca="false">IF(E$5="A",Inputs_Actuals!E24,IF(Assumptions!E$201&lt;Contract_Register!$T$22,0,Contract_Register!$I$22*(1+Contract_Register!$M$22*Assumptions!$F$178)*IF(AND(Assumptions!E$201&gt;Contract_Register!$T$22,MOD(Assumptions!E$201-Contract_Register!$T$22,Assumptions!$C$90)=0),Contract_Register!$S$22,1)))</f>
        <v>160</v>
      </c>
      <c r="F24" s="67" t="n">
        <f aca="false">IF(F$5="A",Inputs_Actuals!F24,IF(Assumptions!F$201&lt;Contract_Register!$T$22,0,E24*(1+Contract_Register!$M$22*Assumptions!$F$178)*IF(AND(Assumptions!F$201&gt;Contract_Register!$T$22,MOD(Assumptions!F$201-Contract_Register!$T$22,Assumptions!$C$90)=0),Contract_Register!$S$22,1)))</f>
        <v>160</v>
      </c>
      <c r="G24" s="67" t="n">
        <f aca="false">IF(G$5="A",Inputs_Actuals!G24,IF(Assumptions!G$201&lt;Contract_Register!$T$22,0,F24*(1+Contract_Register!$M$22*Assumptions!$F$178)*IF(AND(Assumptions!G$201&gt;Contract_Register!$T$22,MOD(Assumptions!G$201-Contract_Register!$T$22,Assumptions!$C$90)=0),Contract_Register!$S$22,1)))</f>
        <v>160</v>
      </c>
      <c r="H24" s="67" t="n">
        <f aca="false">IF(H$5="A",Inputs_Actuals!H24,IF(Assumptions!H$201&lt;Contract_Register!$T$22,0,G24*(1+Contract_Register!$M$22*Assumptions!$F$178)*IF(AND(Assumptions!H$201&gt;Contract_Register!$T$22,MOD(Assumptions!H$201-Contract_Register!$T$22,Assumptions!$C$90)=0),Contract_Register!$S$22,1)))</f>
        <v>161</v>
      </c>
      <c r="I24" s="67" t="n">
        <f aca="false">IF(I$5="A",Inputs_Actuals!I24,IF(Assumptions!I$201&lt;Contract_Register!$T$22,0,H24*(1+Contract_Register!$M$22*Assumptions!$F$178)*IF(AND(Assumptions!I$201&gt;Contract_Register!$T$22,MOD(Assumptions!I$201-Contract_Register!$T$22,Assumptions!$C$90)=0),Contract_Register!$S$22,1)))</f>
        <v>160</v>
      </c>
      <c r="J24" s="67" t="n">
        <f aca="false">IF(J$5="A",Inputs_Actuals!J24,IF(Assumptions!J$201&lt;Contract_Register!$T$22,0,I24*(1+Contract_Register!$M$22*Assumptions!$F$178)*IF(AND(Assumptions!J$201&gt;Contract_Register!$T$22,MOD(Assumptions!J$201-Contract_Register!$T$22,Assumptions!$C$90)=0),Contract_Register!$S$22,1)))</f>
        <v>161</v>
      </c>
      <c r="K24" s="67" t="n">
        <f aca="false">IF(K$5="A",Inputs_Actuals!K24,IF(Assumptions!K$201&lt;Contract_Register!$T$22,0,J24*(1+Contract_Register!$M$22*Assumptions!$F$178)*IF(AND(Assumptions!K$201&gt;Contract_Register!$T$22,MOD(Assumptions!K$201-Contract_Register!$T$22,Assumptions!$C$90)=0),Contract_Register!$S$22,1)))</f>
        <v>161</v>
      </c>
      <c r="L24" s="67" t="n">
        <f aca="false">IF(L$5="A",Inputs_Actuals!L24,IF(Assumptions!L$201&lt;Contract_Register!$T$22,0,K24*(1+Contract_Register!$M$22*Assumptions!$F$178)*IF(AND(Assumptions!L$201&gt;Contract_Register!$T$22,MOD(Assumptions!L$201-Contract_Register!$T$22,Assumptions!$C$90)=0),Contract_Register!$S$22,1)))</f>
        <v>162</v>
      </c>
      <c r="M24" s="67" t="n">
        <f aca="false">IF(M$5="A",Inputs_Actuals!M24,IF(Assumptions!M$201&lt;Contract_Register!$T$22,0,L24*(1+Contract_Register!$M$22*Assumptions!$F$178)*IF(AND(Assumptions!M$201&gt;Contract_Register!$T$22,MOD(Assumptions!M$201-Contract_Register!$T$22,Assumptions!$C$90)=0),Contract_Register!$S$22,1)))</f>
        <v>162.162</v>
      </c>
      <c r="N24" s="67" t="n">
        <f aca="false">IF(N$5="A",Inputs_Actuals!N24,IF(Assumptions!N$201&lt;Contract_Register!$T$22,0,M24*(1+Contract_Register!$M$22*Assumptions!$F$178)*IF(AND(Assumptions!N$201&gt;Contract_Register!$T$22,MOD(Assumptions!N$201-Contract_Register!$T$22,Assumptions!$C$90)=0),Contract_Register!$S$22,1)))</f>
        <v>149.33822904</v>
      </c>
      <c r="O24" s="67" t="n">
        <f aca="false">IF(O$5="A",Inputs_Actuals!O24,IF(Assumptions!O$201&lt;Contract_Register!$T$22,0,N24*(1+Contract_Register!$M$22*Assumptions!$F$178)*IF(AND(Assumptions!O$201&gt;Contract_Register!$T$22,MOD(Assumptions!O$201-Contract_Register!$T$22,Assumptions!$C$90)=0),Contract_Register!$S$22,1)))</f>
        <v>149.48756726904</v>
      </c>
      <c r="P24" s="67" t="n">
        <f aca="false">IF(P$5="A",Inputs_Actuals!P24,IF(Assumptions!P$201&lt;Contract_Register!$T$22,0,O24*(1+Contract_Register!$M$22*Assumptions!$F$178)*IF(AND(Assumptions!P$201&gt;Contract_Register!$T$22,MOD(Assumptions!P$201-Contract_Register!$T$22,Assumptions!$C$90)=0),Contract_Register!$S$22,1)))</f>
        <v>149.637054836309</v>
      </c>
      <c r="Q24" s="67" t="n">
        <f aca="false">IF(Q$5="A",Inputs_Actuals!Q24,IF(Assumptions!Q$201&lt;Contract_Register!$T$22,0,P24*(1+Contract_Register!$M$22*Assumptions!$F$178)*IF(AND(Assumptions!Q$201&gt;Contract_Register!$T$22,MOD(Assumptions!Q$201-Contract_Register!$T$22,Assumptions!$C$90)=0),Contract_Register!$S$22,1)))</f>
        <v>149.786691891145</v>
      </c>
      <c r="R24" s="67" t="n">
        <f aca="false">IF(R$5="A",Inputs_Actuals!R24,IF(Assumptions!R$201&lt;Contract_Register!$T$22,0,Q24*(1+Contract_Register!$M$22*Assumptions!$F$178)*IF(AND(Assumptions!R$201&gt;Contract_Register!$T$22,MOD(Assumptions!R$201-Contract_Register!$T$22,Assumptions!$C$90)=0),Contract_Register!$S$22,1)))</f>
        <v>149.936478583036</v>
      </c>
      <c r="S24" s="67" t="n">
        <f aca="false">IF(S$5="A",Inputs_Actuals!S24,IF(Assumptions!S$201&lt;Contract_Register!$T$22,0,R24*(1+Contract_Register!$M$22*Assumptions!$F$178)*IF(AND(Assumptions!S$201&gt;Contract_Register!$T$22,MOD(Assumptions!S$201-Contract_Register!$T$22,Assumptions!$C$90)=0),Contract_Register!$S$22,1)))</f>
        <v>150.086415061619</v>
      </c>
      <c r="T24" s="67" t="n">
        <f aca="false">IF(T$5="A",Inputs_Actuals!T24,IF(Assumptions!T$201&lt;Contract_Register!$T$22,0,S24*(1+Contract_Register!$M$22*Assumptions!$F$178)*IF(AND(Assumptions!T$201&gt;Contract_Register!$T$22,MOD(Assumptions!T$201-Contract_Register!$T$22,Assumptions!$C$90)=0),Contract_Register!$S$22,1)))</f>
        <v>150.236501476681</v>
      </c>
      <c r="U24" s="67" t="n">
        <f aca="false">IF(U$5="A",Inputs_Actuals!U24,IF(Assumptions!U$201&lt;Contract_Register!$T$22,0,T24*(1+Contract_Register!$M$22*Assumptions!$F$178)*IF(AND(Assumptions!U$201&gt;Contract_Register!$T$22,MOD(Assumptions!U$201-Contract_Register!$T$22,Assumptions!$C$90)=0),Contract_Register!$S$22,1)))</f>
        <v>150.386737978158</v>
      </c>
      <c r="V24" s="67" t="n">
        <f aca="false">IF(V$5="A",Inputs_Actuals!V24,IF(Assumptions!V$201&lt;Contract_Register!$T$22,0,U24*(1+Contract_Register!$M$22*Assumptions!$F$178)*IF(AND(Assumptions!V$201&gt;Contract_Register!$T$22,MOD(Assumptions!V$201-Contract_Register!$T$22,Assumptions!$C$90)=0),Contract_Register!$S$22,1)))</f>
        <v>150.537124716136</v>
      </c>
      <c r="W24" s="67" t="n">
        <f aca="false">IF(W$5="A",Inputs_Actuals!W24,IF(Assumptions!W$201&lt;Contract_Register!$T$22,0,V24*(1+Contract_Register!$M$22*Assumptions!$F$178)*IF(AND(Assumptions!W$201&gt;Contract_Register!$T$22,MOD(Assumptions!W$201-Contract_Register!$T$22,Assumptions!$C$90)=0),Contract_Register!$S$22,1)))</f>
        <v>150.687661840852</v>
      </c>
      <c r="X24" s="67" t="n">
        <f aca="false">IF(X$5="A",Inputs_Actuals!X24,IF(Assumptions!X$201&lt;Contract_Register!$T$22,0,W24*(1+Contract_Register!$M$22*Assumptions!$F$178)*IF(AND(Assumptions!X$201&gt;Contract_Register!$T$22,MOD(Assumptions!X$201-Contract_Register!$T$22,Assumptions!$C$90)=0),Contract_Register!$S$22,1)))</f>
        <v>150.838349502693</v>
      </c>
      <c r="Y24" s="67" t="n">
        <f aca="false">IF(Y$5="A",Inputs_Actuals!Y24,IF(Assumptions!Y$201&lt;Contract_Register!$T$22,0,X24*(1+Contract_Register!$M$22*Assumptions!$F$178)*IF(AND(Assumptions!Y$201&gt;Contract_Register!$T$22,MOD(Assumptions!Y$201-Contract_Register!$T$22,Assumptions!$C$90)=0),Contract_Register!$S$22,1)))</f>
        <v>150.989187852195</v>
      </c>
      <c r="Z24" s="67" t="n">
        <f aca="false">IF(Z$5="A",Inputs_Actuals!Z24,IF(Assumptions!Z$201&lt;Contract_Register!$T$22,0,Y24*(1+Contract_Register!$M$22*Assumptions!$F$178)*IF(AND(Assumptions!Z$201&gt;Contract_Register!$T$22,MOD(Assumptions!Z$201-Contract_Register!$T$22,Assumptions!$C$90)=0),Contract_Register!$S$22,1)))</f>
        <v>151.140177040048</v>
      </c>
      <c r="AA24" s="67" t="n">
        <f aca="false">IF(AA$5="A",Inputs_Actuals!AA24,IF(Assumptions!AA$201&lt;Contract_Register!$T$22,0,Z24*(1+Contract_Register!$M$22*Assumptions!$F$178)*IF(AND(Assumptions!AA$201&gt;Contract_Register!$T$22,MOD(Assumptions!AA$201-Contract_Register!$T$22,Assumptions!$C$90)=0),Contract_Register!$S$22,1)))</f>
        <v>151.291317217088</v>
      </c>
      <c r="AB24" s="67" t="n">
        <f aca="false">IF(AB$5="A",Inputs_Actuals!AB24,IF(Assumptions!AB$201&lt;Contract_Register!$T$22,0,AA24*(1+Contract_Register!$M$22*Assumptions!$F$178)*IF(AND(Assumptions!AB$201&gt;Contract_Register!$T$22,MOD(Assumptions!AB$201-Contract_Register!$T$22,Assumptions!$C$90)=0),Contract_Register!$S$22,1)))</f>
        <v>151.442608534305</v>
      </c>
    </row>
    <row r="25" customFormat="false" ht="15" hidden="false" customHeight="false" outlineLevel="0" collapsed="false">
      <c r="A25" s="27" t="s">
        <v>790</v>
      </c>
      <c r="B25" s="63" t="s">
        <v>774</v>
      </c>
      <c r="C25" s="66" t="n">
        <f aca="false">P25</f>
        <v>120.915454494464</v>
      </c>
      <c r="D25" s="66" t="n">
        <f aca="false">AB25</f>
        <v>120.506360893639</v>
      </c>
      <c r="E25" s="67" t="n">
        <f aca="false">IF(E$5="A",Inputs_Actuals!E25,IF(Assumptions!E$201&lt;Contract_Register!$T$23,0,Contract_Register!$I$23*(1+Contract_Register!$M$23*Assumptions!$F$178)*IF(AND(Assumptions!E$201&gt;Contract_Register!$T$23,MOD(Assumptions!E$201-Contract_Register!$T$23,Assumptions!$C$90)=0),Contract_Register!$S$23,1)))</f>
        <v>116</v>
      </c>
      <c r="F25" s="67" t="n">
        <f aca="false">IF(F$5="A",Inputs_Actuals!F25,IF(Assumptions!F$201&lt;Contract_Register!$T$23,0,E25*(1+Contract_Register!$M$23*Assumptions!$F$178)*IF(AND(Assumptions!F$201&gt;Contract_Register!$T$23,MOD(Assumptions!F$201-Contract_Register!$T$23,Assumptions!$C$90)=0),Contract_Register!$S$23,1)))</f>
        <v>116</v>
      </c>
      <c r="G25" s="67" t="n">
        <f aca="false">IF(G$5="A",Inputs_Actuals!G25,IF(Assumptions!G$201&lt;Contract_Register!$T$23,0,F25*(1+Contract_Register!$M$23*Assumptions!$F$178)*IF(AND(Assumptions!G$201&gt;Contract_Register!$T$23,MOD(Assumptions!G$201-Contract_Register!$T$23,Assumptions!$C$90)=0),Contract_Register!$S$23,1)))</f>
        <v>117</v>
      </c>
      <c r="H25" s="67" t="n">
        <f aca="false">IF(H$5="A",Inputs_Actuals!H25,IF(Assumptions!H$201&lt;Contract_Register!$T$23,0,G25*(1+Contract_Register!$M$23*Assumptions!$F$178)*IF(AND(Assumptions!H$201&gt;Contract_Register!$T$23,MOD(Assumptions!H$201-Contract_Register!$T$23,Assumptions!$C$90)=0),Contract_Register!$S$23,1)))</f>
        <v>118</v>
      </c>
      <c r="I25" s="67" t="n">
        <f aca="false">IF(I$5="A",Inputs_Actuals!I25,IF(Assumptions!I$201&lt;Contract_Register!$T$23,0,H25*(1+Contract_Register!$M$23*Assumptions!$F$178)*IF(AND(Assumptions!I$201&gt;Contract_Register!$T$23,MOD(Assumptions!I$201-Contract_Register!$T$23,Assumptions!$C$90)=0),Contract_Register!$S$23,1)))</f>
        <v>118</v>
      </c>
      <c r="J25" s="67" t="n">
        <f aca="false">IF(J$5="A",Inputs_Actuals!J25,IF(Assumptions!J$201&lt;Contract_Register!$T$23,0,I25*(1+Contract_Register!$M$23*Assumptions!$F$178)*IF(AND(Assumptions!J$201&gt;Contract_Register!$T$23,MOD(Assumptions!J$201-Contract_Register!$T$23,Assumptions!$C$90)=0),Contract_Register!$S$23,1)))</f>
        <v>119</v>
      </c>
      <c r="K25" s="67" t="n">
        <f aca="false">IF(K$5="A",Inputs_Actuals!K25,IF(Assumptions!K$201&lt;Contract_Register!$T$23,0,J25*(1+Contract_Register!$M$23*Assumptions!$F$178)*IF(AND(Assumptions!K$201&gt;Contract_Register!$T$23,MOD(Assumptions!K$201-Contract_Register!$T$23,Assumptions!$C$90)=0),Contract_Register!$S$23,1)))</f>
        <v>119</v>
      </c>
      <c r="L25" s="67" t="n">
        <f aca="false">IF(L$5="A",Inputs_Actuals!L25,IF(Assumptions!L$201&lt;Contract_Register!$T$23,0,K25*(1+Contract_Register!$M$23*Assumptions!$F$178)*IF(AND(Assumptions!L$201&gt;Contract_Register!$T$23,MOD(Assumptions!L$201-Contract_Register!$T$23,Assumptions!$C$90)=0),Contract_Register!$S$23,1)))</f>
        <v>119</v>
      </c>
      <c r="M25" s="67" t="n">
        <f aca="false">IF(M$5="A",Inputs_Actuals!M25,IF(Assumptions!M$201&lt;Contract_Register!$T$23,0,L25*(1+Contract_Register!$M$23*Assumptions!$F$178)*IF(AND(Assumptions!M$201&gt;Contract_Register!$T$23,MOD(Assumptions!M$201-Contract_Register!$T$23,Assumptions!$C$90)=0),Contract_Register!$S$23,1)))</f>
        <v>119.476</v>
      </c>
      <c r="N25" s="67" t="n">
        <f aca="false">IF(N$5="A",Inputs_Actuals!N25,IF(Assumptions!N$201&lt;Contract_Register!$T$23,0,M25*(1+Contract_Register!$M$23*Assumptions!$F$178)*IF(AND(Assumptions!N$201&gt;Contract_Register!$T$23,MOD(Assumptions!N$201-Contract_Register!$T$23,Assumptions!$C$90)=0),Contract_Register!$S$23,1)))</f>
        <v>119.953904</v>
      </c>
      <c r="O25" s="67" t="n">
        <f aca="false">IF(O$5="A",Inputs_Actuals!O25,IF(Assumptions!O$201&lt;Contract_Register!$T$23,0,N25*(1+Contract_Register!$M$23*Assumptions!$F$178)*IF(AND(Assumptions!O$201&gt;Contract_Register!$T$23,MOD(Assumptions!O$201-Contract_Register!$T$23,Assumptions!$C$90)=0),Contract_Register!$S$23,1)))</f>
        <v>120.433719616</v>
      </c>
      <c r="P25" s="67" t="n">
        <f aca="false">IF(P$5="A",Inputs_Actuals!P25,IF(Assumptions!P$201&lt;Contract_Register!$T$23,0,O25*(1+Contract_Register!$M$23*Assumptions!$F$178)*IF(AND(Assumptions!P$201&gt;Contract_Register!$T$23,MOD(Assumptions!P$201-Contract_Register!$T$23,Assumptions!$C$90)=0),Contract_Register!$S$23,1)))</f>
        <v>120.915454494464</v>
      </c>
      <c r="Q25" s="67" t="n">
        <f aca="false">IF(Q$5="A",Inputs_Actuals!Q25,IF(Assumptions!Q$201&lt;Contract_Register!$T$23,0,P25*(1+Contract_Register!$M$23*Assumptions!$F$178)*IF(AND(Assumptions!Q$201&gt;Contract_Register!$T$23,MOD(Assumptions!Q$201-Contract_Register!$T$23,Assumptions!$C$90)=0),Contract_Register!$S$23,1)))</f>
        <v>121.399116312442</v>
      </c>
      <c r="R25" s="67" t="n">
        <f aca="false">IF(R$5="A",Inputs_Actuals!R25,IF(Assumptions!R$201&lt;Contract_Register!$T$23,0,Q25*(1+Contract_Register!$M$23*Assumptions!$F$178)*IF(AND(Assumptions!R$201&gt;Contract_Register!$T$23,MOD(Assumptions!R$201-Contract_Register!$T$23,Assumptions!$C$90)=0),Contract_Register!$S$23,1)))</f>
        <v>121.884712777692</v>
      </c>
      <c r="S25" s="67" t="n">
        <f aca="false">IF(S$5="A",Inputs_Actuals!S25,IF(Assumptions!S$201&lt;Contract_Register!$T$23,0,R25*(1+Contract_Register!$M$23*Assumptions!$F$178)*IF(AND(Assumptions!S$201&gt;Contract_Register!$T$23,MOD(Assumptions!S$201-Contract_Register!$T$23,Assumptions!$C$90)=0),Contract_Register!$S$23,1)))</f>
        <v>122.372251628802</v>
      </c>
      <c r="T25" s="67" t="n">
        <f aca="false">IF(T$5="A",Inputs_Actuals!T25,IF(Assumptions!T$201&lt;Contract_Register!$T$23,0,S25*(1+Contract_Register!$M$23*Assumptions!$F$178)*IF(AND(Assumptions!T$201&gt;Contract_Register!$T$23,MOD(Assumptions!T$201-Contract_Register!$T$23,Assumptions!$C$90)=0),Contract_Register!$S$23,1)))</f>
        <v>122.861740635318</v>
      </c>
      <c r="U25" s="67" t="n">
        <f aca="false">IF(U$5="A",Inputs_Actuals!U25,IF(Assumptions!U$201&lt;Contract_Register!$T$23,0,T25*(1+Contract_Register!$M$23*Assumptions!$F$178)*IF(AND(Assumptions!U$201&gt;Contract_Register!$T$23,MOD(Assumptions!U$201-Contract_Register!$T$23,Assumptions!$C$90)=0),Contract_Register!$S$23,1)))</f>
        <v>123.353187597859</v>
      </c>
      <c r="V25" s="67" t="n">
        <f aca="false">IF(V$5="A",Inputs_Actuals!V25,IF(Assumptions!V$201&lt;Contract_Register!$T$23,0,U25*(1+Contract_Register!$M$23*Assumptions!$F$178)*IF(AND(Assumptions!V$201&gt;Contract_Register!$T$23,MOD(Assumptions!V$201-Contract_Register!$T$23,Assumptions!$C$90)=0),Contract_Register!$S$23,1)))</f>
        <v>123.84660034825</v>
      </c>
      <c r="W25" s="67" t="n">
        <f aca="false">IF(W$5="A",Inputs_Actuals!W25,IF(Assumptions!W$201&lt;Contract_Register!$T$23,0,V25*(1+Contract_Register!$M$23*Assumptions!$F$178)*IF(AND(Assumptions!W$201&gt;Contract_Register!$T$23,MOD(Assumptions!W$201-Contract_Register!$T$23,Assumptions!$C$90)=0),Contract_Register!$S$23,1)))</f>
        <v>124.341986749643</v>
      </c>
      <c r="X25" s="67" t="n">
        <f aca="false">IF(X$5="A",Inputs_Actuals!X25,IF(Assumptions!X$201&lt;Contract_Register!$T$23,0,W25*(1+Contract_Register!$M$23*Assumptions!$F$178)*IF(AND(Assumptions!X$201&gt;Contract_Register!$T$23,MOD(Assumptions!X$201-Contract_Register!$T$23,Assumptions!$C$90)=0),Contract_Register!$S$23,1)))</f>
        <v>118.59738696181</v>
      </c>
      <c r="Y25" s="67" t="n">
        <f aca="false">IF(Y$5="A",Inputs_Actuals!Y25,IF(Assumptions!Y$201&lt;Contract_Register!$T$23,0,X25*(1+Contract_Register!$M$23*Assumptions!$F$178)*IF(AND(Assumptions!Y$201&gt;Contract_Register!$T$23,MOD(Assumptions!Y$201-Contract_Register!$T$23,Assumptions!$C$90)=0),Contract_Register!$S$23,1)))</f>
        <v>119.071776509657</v>
      </c>
      <c r="Z25" s="67" t="n">
        <f aca="false">IF(Z$5="A",Inputs_Actuals!Z25,IF(Assumptions!Z$201&lt;Contract_Register!$T$23,0,Y25*(1+Contract_Register!$M$23*Assumptions!$F$178)*IF(AND(Assumptions!Z$201&gt;Contract_Register!$T$23,MOD(Assumptions!Z$201-Contract_Register!$T$23,Assumptions!$C$90)=0),Contract_Register!$S$23,1)))</f>
        <v>119.548063615696</v>
      </c>
      <c r="AA25" s="67" t="n">
        <f aca="false">IF(AA$5="A",Inputs_Actuals!AA25,IF(Assumptions!AA$201&lt;Contract_Register!$T$23,0,Z25*(1+Contract_Register!$M$23*Assumptions!$F$178)*IF(AND(Assumptions!AA$201&gt;Contract_Register!$T$23,MOD(Assumptions!AA$201-Contract_Register!$T$23,Assumptions!$C$90)=0),Contract_Register!$S$23,1)))</f>
        <v>120.026255870158</v>
      </c>
      <c r="AB25" s="67" t="n">
        <f aca="false">IF(AB$5="A",Inputs_Actuals!AB25,IF(Assumptions!AB$201&lt;Contract_Register!$T$23,0,AA25*(1+Contract_Register!$M$23*Assumptions!$F$178)*IF(AND(Assumptions!AB$201&gt;Contract_Register!$T$23,MOD(Assumptions!AB$201-Contract_Register!$T$23,Assumptions!$C$90)=0),Contract_Register!$S$23,1)))</f>
        <v>120.506360893639</v>
      </c>
    </row>
    <row r="26" customFormat="false" ht="15" hidden="false" customHeight="false" outlineLevel="0" collapsed="false">
      <c r="A26" s="27" t="s">
        <v>791</v>
      </c>
      <c r="B26" s="63" t="s">
        <v>774</v>
      </c>
      <c r="C26" s="66" t="n">
        <f aca="false">P26</f>
        <v>56.675030052536</v>
      </c>
      <c r="D26" s="66" t="n">
        <f aca="false">AB26</f>
        <v>58.749335035288</v>
      </c>
      <c r="E26" s="67" t="n">
        <f aca="false">IF(E$5="A",Inputs_Actuals!E26,IF(Assumptions!E$201&lt;Contract_Register!$T$24,0,Contract_Register!$I$24*(1+Contract_Register!$M$24*Assumptions!$F$178)*IF(AND(Assumptions!E$201&gt;Contract_Register!$T$24,MOD(Assumptions!E$201-Contract_Register!$T$24,Assumptions!$C$90)=0),Contract_Register!$S$24,1)))</f>
        <v>55</v>
      </c>
      <c r="F26" s="67" t="n">
        <f aca="false">IF(F$5="A",Inputs_Actuals!F26,IF(Assumptions!F$201&lt;Contract_Register!$T$24,0,E26*(1+Contract_Register!$M$24*Assumptions!$F$178)*IF(AND(Assumptions!F$201&gt;Contract_Register!$T$24,MOD(Assumptions!F$201-Contract_Register!$T$24,Assumptions!$C$90)=0),Contract_Register!$S$24,1)))</f>
        <v>55</v>
      </c>
      <c r="G26" s="67" t="n">
        <f aca="false">IF(G$5="A",Inputs_Actuals!G26,IF(Assumptions!G$201&lt;Contract_Register!$T$24,0,F26*(1+Contract_Register!$M$24*Assumptions!$F$178)*IF(AND(Assumptions!G$201&gt;Contract_Register!$T$24,MOD(Assumptions!G$201-Contract_Register!$T$24,Assumptions!$C$90)=0),Contract_Register!$S$24,1)))</f>
        <v>55</v>
      </c>
      <c r="H26" s="67" t="n">
        <f aca="false">IF(H$5="A",Inputs_Actuals!H26,IF(Assumptions!H$201&lt;Contract_Register!$T$24,0,G26*(1+Contract_Register!$M$24*Assumptions!$F$178)*IF(AND(Assumptions!H$201&gt;Contract_Register!$T$24,MOD(Assumptions!H$201-Contract_Register!$T$24,Assumptions!$C$90)=0),Contract_Register!$S$24,1)))</f>
        <v>55</v>
      </c>
      <c r="I26" s="67" t="n">
        <f aca="false">IF(I$5="A",Inputs_Actuals!I26,IF(Assumptions!I$201&lt;Contract_Register!$T$24,0,H26*(1+Contract_Register!$M$24*Assumptions!$F$178)*IF(AND(Assumptions!I$201&gt;Contract_Register!$T$24,MOD(Assumptions!I$201-Contract_Register!$T$24,Assumptions!$C$90)=0),Contract_Register!$S$24,1)))</f>
        <v>55</v>
      </c>
      <c r="J26" s="67" t="n">
        <f aca="false">IF(J$5="A",Inputs_Actuals!J26,IF(Assumptions!J$201&lt;Contract_Register!$T$24,0,I26*(1+Contract_Register!$M$24*Assumptions!$F$178)*IF(AND(Assumptions!J$201&gt;Contract_Register!$T$24,MOD(Assumptions!J$201-Contract_Register!$T$24,Assumptions!$C$90)=0),Contract_Register!$S$24,1)))</f>
        <v>56</v>
      </c>
      <c r="K26" s="67" t="n">
        <f aca="false">IF(K$5="A",Inputs_Actuals!K26,IF(Assumptions!K$201&lt;Contract_Register!$T$24,0,J26*(1+Contract_Register!$M$24*Assumptions!$F$178)*IF(AND(Assumptions!K$201&gt;Contract_Register!$T$24,MOD(Assumptions!K$201-Contract_Register!$T$24,Assumptions!$C$90)=0),Contract_Register!$S$24,1)))</f>
        <v>56</v>
      </c>
      <c r="L26" s="67" t="n">
        <f aca="false">IF(L$5="A",Inputs_Actuals!L26,IF(Assumptions!L$201&lt;Contract_Register!$T$24,0,K26*(1+Contract_Register!$M$24*Assumptions!$F$178)*IF(AND(Assumptions!L$201&gt;Contract_Register!$T$24,MOD(Assumptions!L$201-Contract_Register!$T$24,Assumptions!$C$90)=0),Contract_Register!$S$24,1)))</f>
        <v>56</v>
      </c>
      <c r="M26" s="67" t="n">
        <f aca="false">IF(M$5="A",Inputs_Actuals!M26,IF(Assumptions!M$201&lt;Contract_Register!$T$24,0,L26*(1+Contract_Register!$M$24*Assumptions!$F$178)*IF(AND(Assumptions!M$201&gt;Contract_Register!$T$24,MOD(Assumptions!M$201-Contract_Register!$T$24,Assumptions!$C$90)=0),Contract_Register!$S$24,1)))</f>
        <v>56.168</v>
      </c>
      <c r="N26" s="67" t="n">
        <f aca="false">IF(N$5="A",Inputs_Actuals!N26,IF(Assumptions!N$201&lt;Contract_Register!$T$24,0,M26*(1+Contract_Register!$M$24*Assumptions!$F$178)*IF(AND(Assumptions!N$201&gt;Contract_Register!$T$24,MOD(Assumptions!N$201-Contract_Register!$T$24,Assumptions!$C$90)=0),Contract_Register!$S$24,1)))</f>
        <v>56.336504</v>
      </c>
      <c r="O26" s="67" t="n">
        <f aca="false">IF(O$5="A",Inputs_Actuals!O26,IF(Assumptions!O$201&lt;Contract_Register!$T$24,0,N26*(1+Contract_Register!$M$24*Assumptions!$F$178)*IF(AND(Assumptions!O$201&gt;Contract_Register!$T$24,MOD(Assumptions!O$201-Contract_Register!$T$24,Assumptions!$C$90)=0),Contract_Register!$S$24,1)))</f>
        <v>56.505513512</v>
      </c>
      <c r="P26" s="67" t="n">
        <f aca="false">IF(P$5="A",Inputs_Actuals!P26,IF(Assumptions!P$201&lt;Contract_Register!$T$24,0,O26*(1+Contract_Register!$M$24*Assumptions!$F$178)*IF(AND(Assumptions!P$201&gt;Contract_Register!$T$24,MOD(Assumptions!P$201-Contract_Register!$T$24,Assumptions!$C$90)=0),Contract_Register!$S$24,1)))</f>
        <v>56.675030052536</v>
      </c>
      <c r="Q26" s="67" t="n">
        <f aca="false">IF(Q$5="A",Inputs_Actuals!Q26,IF(Assumptions!Q$201&lt;Contract_Register!$T$24,0,P26*(1+Contract_Register!$M$24*Assumptions!$F$178)*IF(AND(Assumptions!Q$201&gt;Contract_Register!$T$24,MOD(Assumptions!Q$201-Contract_Register!$T$24,Assumptions!$C$90)=0),Contract_Register!$S$24,1)))</f>
        <v>56.8450551426936</v>
      </c>
      <c r="R26" s="67" t="n">
        <f aca="false">IF(R$5="A",Inputs_Actuals!R26,IF(Assumptions!R$201&lt;Contract_Register!$T$24,0,Q26*(1+Contract_Register!$M$24*Assumptions!$F$178)*IF(AND(Assumptions!R$201&gt;Contract_Register!$T$24,MOD(Assumptions!R$201-Contract_Register!$T$24,Assumptions!$C$90)=0),Contract_Register!$S$24,1)))</f>
        <v>57.0155903081217</v>
      </c>
      <c r="S26" s="67" t="n">
        <f aca="false">IF(S$5="A",Inputs_Actuals!S26,IF(Assumptions!S$201&lt;Contract_Register!$T$24,0,R26*(1+Contract_Register!$M$24*Assumptions!$F$178)*IF(AND(Assumptions!S$201&gt;Contract_Register!$T$24,MOD(Assumptions!S$201-Contract_Register!$T$24,Assumptions!$C$90)=0),Contract_Register!$S$24,1)))</f>
        <v>57.186637079046</v>
      </c>
      <c r="T26" s="67" t="n">
        <f aca="false">IF(T$5="A",Inputs_Actuals!T26,IF(Assumptions!T$201&lt;Contract_Register!$T$24,0,S26*(1+Contract_Register!$M$24*Assumptions!$F$178)*IF(AND(Assumptions!T$201&gt;Contract_Register!$T$24,MOD(Assumptions!T$201-Contract_Register!$T$24,Assumptions!$C$90)=0),Contract_Register!$S$24,1)))</f>
        <v>57.3581969902831</v>
      </c>
      <c r="U26" s="67" t="n">
        <f aca="false">IF(U$5="A",Inputs_Actuals!U26,IF(Assumptions!U$201&lt;Contract_Register!$T$24,0,T26*(1+Contract_Register!$M$24*Assumptions!$F$178)*IF(AND(Assumptions!U$201&gt;Contract_Register!$T$24,MOD(Assumptions!U$201-Contract_Register!$T$24,Assumptions!$C$90)=0),Contract_Register!$S$24,1)))</f>
        <v>57.530271581254</v>
      </c>
      <c r="V26" s="67" t="n">
        <f aca="false">IF(V$5="A",Inputs_Actuals!V26,IF(Assumptions!V$201&lt;Contract_Register!$T$24,0,U26*(1+Contract_Register!$M$24*Assumptions!$F$178)*IF(AND(Assumptions!V$201&gt;Contract_Register!$T$24,MOD(Assumptions!V$201-Contract_Register!$T$24,Assumptions!$C$90)=0),Contract_Register!$S$24,1)))</f>
        <v>57.7028623959977</v>
      </c>
      <c r="W26" s="67" t="n">
        <f aca="false">IF(W$5="A",Inputs_Actuals!W26,IF(Assumptions!W$201&lt;Contract_Register!$T$24,0,V26*(1+Contract_Register!$M$24*Assumptions!$F$178)*IF(AND(Assumptions!W$201&gt;Contract_Register!$T$24,MOD(Assumptions!W$201-Contract_Register!$T$24,Assumptions!$C$90)=0),Contract_Register!$S$24,1)))</f>
        <v>57.8759709831857</v>
      </c>
      <c r="X26" s="67" t="n">
        <f aca="false">IF(X$5="A",Inputs_Actuals!X26,IF(Assumptions!X$201&lt;Contract_Register!$T$24,0,W26*(1+Contract_Register!$M$24*Assumptions!$F$178)*IF(AND(Assumptions!X$201&gt;Contract_Register!$T$24,MOD(Assumptions!X$201-Contract_Register!$T$24,Assumptions!$C$90)=0),Contract_Register!$S$24,1)))</f>
        <v>58.0495988961353</v>
      </c>
      <c r="Y26" s="67" t="n">
        <f aca="false">IF(Y$5="A",Inputs_Actuals!Y26,IF(Assumptions!Y$201&lt;Contract_Register!$T$24,0,X26*(1+Contract_Register!$M$24*Assumptions!$F$178)*IF(AND(Assumptions!Y$201&gt;Contract_Register!$T$24,MOD(Assumptions!Y$201-Contract_Register!$T$24,Assumptions!$C$90)=0),Contract_Register!$S$24,1)))</f>
        <v>58.2237476928237</v>
      </c>
      <c r="Z26" s="67" t="n">
        <f aca="false">IF(Z$5="A",Inputs_Actuals!Z26,IF(Assumptions!Z$201&lt;Contract_Register!$T$24,0,Y26*(1+Contract_Register!$M$24*Assumptions!$F$178)*IF(AND(Assumptions!Z$201&gt;Contract_Register!$T$24,MOD(Assumptions!Z$201-Contract_Register!$T$24,Assumptions!$C$90)=0),Contract_Register!$S$24,1)))</f>
        <v>58.3984189359021</v>
      </c>
      <c r="AA26" s="67" t="n">
        <f aca="false">IF(AA$5="A",Inputs_Actuals!AA26,IF(Assumptions!AA$201&lt;Contract_Register!$T$24,0,Z26*(1+Contract_Register!$M$24*Assumptions!$F$178)*IF(AND(Assumptions!AA$201&gt;Contract_Register!$T$24,MOD(Assumptions!AA$201-Contract_Register!$T$24,Assumptions!$C$90)=0),Contract_Register!$S$24,1)))</f>
        <v>58.5736141927098</v>
      </c>
      <c r="AB26" s="67" t="n">
        <f aca="false">IF(AB$5="A",Inputs_Actuals!AB26,IF(Assumptions!AB$201&lt;Contract_Register!$T$24,0,AA26*(1+Contract_Register!$M$24*Assumptions!$F$178)*IF(AND(Assumptions!AB$201&gt;Contract_Register!$T$24,MOD(Assumptions!AB$201-Contract_Register!$T$24,Assumptions!$C$90)=0),Contract_Register!$S$24,1)))</f>
        <v>58.749335035288</v>
      </c>
    </row>
    <row r="27" customFormat="false" ht="15" hidden="false" customHeight="false" outlineLevel="0" collapsed="false">
      <c r="A27" s="27" t="s">
        <v>792</v>
      </c>
      <c r="B27" s="63" t="s">
        <v>774</v>
      </c>
      <c r="C27" s="66" t="n">
        <f aca="false">P27</f>
        <v>148.179532706352</v>
      </c>
      <c r="D27" s="66" t="n">
        <f aca="false">AB27</f>
        <v>151.775222861263</v>
      </c>
      <c r="E27" s="67" t="n">
        <f aca="false">IF(E$5="A",Inputs_Actuals!E27,IF(Assumptions!E$201&lt;Contract_Register!$T$25,0,Contract_Register!$I$25*(1+Contract_Register!$M$25*Assumptions!$F$178)*IF(AND(Assumptions!E$201&gt;Contract_Register!$T$25,MOD(Assumptions!E$201-Contract_Register!$T$25,Assumptions!$C$90)=0),Contract_Register!$S$25,1)))</f>
        <v>145</v>
      </c>
      <c r="F27" s="67" t="n">
        <f aca="false">IF(F$5="A",Inputs_Actuals!F27,IF(Assumptions!F$201&lt;Contract_Register!$T$25,0,E27*(1+Contract_Register!$M$25*Assumptions!$F$178)*IF(AND(Assumptions!F$201&gt;Contract_Register!$T$25,MOD(Assumptions!F$201-Contract_Register!$T$25,Assumptions!$C$90)=0),Contract_Register!$S$25,1)))</f>
        <v>145</v>
      </c>
      <c r="G27" s="67" t="n">
        <f aca="false">IF(G$5="A",Inputs_Actuals!G27,IF(Assumptions!G$201&lt;Contract_Register!$T$25,0,F27*(1+Contract_Register!$M$25*Assumptions!$F$178)*IF(AND(Assumptions!G$201&gt;Contract_Register!$T$25,MOD(Assumptions!G$201-Contract_Register!$T$25,Assumptions!$C$90)=0),Contract_Register!$S$25,1)))</f>
        <v>145</v>
      </c>
      <c r="H27" s="67" t="n">
        <f aca="false">IF(H$5="A",Inputs_Actuals!H27,IF(Assumptions!H$201&lt;Contract_Register!$T$25,0,G27*(1+Contract_Register!$M$25*Assumptions!$F$178)*IF(AND(Assumptions!H$201&gt;Contract_Register!$T$25,MOD(Assumptions!H$201-Contract_Register!$T$25,Assumptions!$C$90)=0),Contract_Register!$S$25,1)))</f>
        <v>145</v>
      </c>
      <c r="I27" s="67" t="n">
        <f aca="false">IF(I$5="A",Inputs_Actuals!I27,IF(Assumptions!I$201&lt;Contract_Register!$T$25,0,H27*(1+Contract_Register!$M$25*Assumptions!$F$178)*IF(AND(Assumptions!I$201&gt;Contract_Register!$T$25,MOD(Assumptions!I$201-Contract_Register!$T$25,Assumptions!$C$90)=0),Contract_Register!$S$25,1)))</f>
        <v>146</v>
      </c>
      <c r="J27" s="67" t="n">
        <f aca="false">IF(J$5="A",Inputs_Actuals!J27,IF(Assumptions!J$201&lt;Contract_Register!$T$25,0,I27*(1+Contract_Register!$M$25*Assumptions!$F$178)*IF(AND(Assumptions!J$201&gt;Contract_Register!$T$25,MOD(Assumptions!J$201-Contract_Register!$T$25,Assumptions!$C$90)=0),Contract_Register!$S$25,1)))</f>
        <v>146</v>
      </c>
      <c r="K27" s="67" t="n">
        <f aca="false">IF(K$5="A",Inputs_Actuals!K27,IF(Assumptions!K$201&lt;Contract_Register!$T$25,0,J27*(1+Contract_Register!$M$25*Assumptions!$F$178)*IF(AND(Assumptions!K$201&gt;Contract_Register!$T$25,MOD(Assumptions!K$201-Contract_Register!$T$25,Assumptions!$C$90)=0),Contract_Register!$S$25,1)))</f>
        <v>147</v>
      </c>
      <c r="L27" s="67" t="n">
        <f aca="false">IF(L$5="A",Inputs_Actuals!L27,IF(Assumptions!L$201&lt;Contract_Register!$T$25,0,K27*(1+Contract_Register!$M$25*Assumptions!$F$178)*IF(AND(Assumptions!L$201&gt;Contract_Register!$T$25,MOD(Assumptions!L$201-Contract_Register!$T$25,Assumptions!$C$90)=0),Contract_Register!$S$25,1)))</f>
        <v>147</v>
      </c>
      <c r="M27" s="67" t="n">
        <f aca="false">IF(M$5="A",Inputs_Actuals!M27,IF(Assumptions!M$201&lt;Contract_Register!$T$25,0,L27*(1+Contract_Register!$M$25*Assumptions!$F$178)*IF(AND(Assumptions!M$201&gt;Contract_Register!$T$25,MOD(Assumptions!M$201-Contract_Register!$T$25,Assumptions!$C$90)=0),Contract_Register!$S$25,1)))</f>
        <v>147.294</v>
      </c>
      <c r="N27" s="67" t="n">
        <f aca="false">IF(N$5="A",Inputs_Actuals!N27,IF(Assumptions!N$201&lt;Contract_Register!$T$25,0,M27*(1+Contract_Register!$M$25*Assumptions!$F$178)*IF(AND(Assumptions!N$201&gt;Contract_Register!$T$25,MOD(Assumptions!N$201-Contract_Register!$T$25,Assumptions!$C$90)=0),Contract_Register!$S$25,1)))</f>
        <v>147.588588</v>
      </c>
      <c r="O27" s="67" t="n">
        <f aca="false">IF(O$5="A",Inputs_Actuals!O27,IF(Assumptions!O$201&lt;Contract_Register!$T$25,0,N27*(1+Contract_Register!$M$25*Assumptions!$F$178)*IF(AND(Assumptions!O$201&gt;Contract_Register!$T$25,MOD(Assumptions!O$201-Contract_Register!$T$25,Assumptions!$C$90)=0),Contract_Register!$S$25,1)))</f>
        <v>147.883765176</v>
      </c>
      <c r="P27" s="67" t="n">
        <f aca="false">IF(P$5="A",Inputs_Actuals!P27,IF(Assumptions!P$201&lt;Contract_Register!$T$25,0,O27*(1+Contract_Register!$M$25*Assumptions!$F$178)*IF(AND(Assumptions!P$201&gt;Contract_Register!$T$25,MOD(Assumptions!P$201-Contract_Register!$T$25,Assumptions!$C$90)=0),Contract_Register!$S$25,1)))</f>
        <v>148.179532706352</v>
      </c>
      <c r="Q27" s="67" t="n">
        <f aca="false">IF(Q$5="A",Inputs_Actuals!Q27,IF(Assumptions!Q$201&lt;Contract_Register!$T$25,0,P27*(1+Contract_Register!$M$25*Assumptions!$F$178)*IF(AND(Assumptions!Q$201&gt;Contract_Register!$T$25,MOD(Assumptions!Q$201-Contract_Register!$T$25,Assumptions!$C$90)=0),Contract_Register!$S$25,1)))</f>
        <v>148.475891771765</v>
      </c>
      <c r="R27" s="67" t="n">
        <f aca="false">IF(R$5="A",Inputs_Actuals!R27,IF(Assumptions!R$201&lt;Contract_Register!$T$25,0,Q27*(1+Contract_Register!$M$25*Assumptions!$F$178)*IF(AND(Assumptions!R$201&gt;Contract_Register!$T$25,MOD(Assumptions!R$201-Contract_Register!$T$25,Assumptions!$C$90)=0),Contract_Register!$S$25,1)))</f>
        <v>148.772843555308</v>
      </c>
      <c r="S27" s="67" t="n">
        <f aca="false">IF(S$5="A",Inputs_Actuals!S27,IF(Assumptions!S$201&lt;Contract_Register!$T$25,0,R27*(1+Contract_Register!$M$25*Assumptions!$F$178)*IF(AND(Assumptions!S$201&gt;Contract_Register!$T$25,MOD(Assumptions!S$201-Contract_Register!$T$25,Assumptions!$C$90)=0),Contract_Register!$S$25,1)))</f>
        <v>149.070389242419</v>
      </c>
      <c r="T27" s="67" t="n">
        <f aca="false">IF(T$5="A",Inputs_Actuals!T27,IF(Assumptions!T$201&lt;Contract_Register!$T$25,0,S27*(1+Contract_Register!$M$25*Assumptions!$F$178)*IF(AND(Assumptions!T$201&gt;Contract_Register!$T$25,MOD(Assumptions!T$201-Contract_Register!$T$25,Assumptions!$C$90)=0),Contract_Register!$S$25,1)))</f>
        <v>149.368530020904</v>
      </c>
      <c r="U27" s="67" t="n">
        <f aca="false">IF(U$5="A",Inputs_Actuals!U27,IF(Assumptions!U$201&lt;Contract_Register!$T$25,0,T27*(1+Contract_Register!$M$25*Assumptions!$F$178)*IF(AND(Assumptions!U$201&gt;Contract_Register!$T$25,MOD(Assumptions!U$201-Contract_Register!$T$25,Assumptions!$C$90)=0),Contract_Register!$S$25,1)))</f>
        <v>149.667267080946</v>
      </c>
      <c r="V27" s="67" t="n">
        <f aca="false">IF(V$5="A",Inputs_Actuals!V27,IF(Assumptions!V$201&lt;Contract_Register!$T$25,0,U27*(1+Contract_Register!$M$25*Assumptions!$F$178)*IF(AND(Assumptions!V$201&gt;Contract_Register!$T$25,MOD(Assumptions!V$201-Contract_Register!$T$25,Assumptions!$C$90)=0),Contract_Register!$S$25,1)))</f>
        <v>149.966601615107</v>
      </c>
      <c r="W27" s="67" t="n">
        <f aca="false">IF(W$5="A",Inputs_Actuals!W27,IF(Assumptions!W$201&lt;Contract_Register!$T$25,0,V27*(1+Contract_Register!$M$25*Assumptions!$F$178)*IF(AND(Assumptions!W$201&gt;Contract_Register!$T$25,MOD(Assumptions!W$201-Contract_Register!$T$25,Assumptions!$C$90)=0),Contract_Register!$S$25,1)))</f>
        <v>150.266534818338</v>
      </c>
      <c r="X27" s="67" t="n">
        <f aca="false">IF(X$5="A",Inputs_Actuals!X27,IF(Assumptions!X$201&lt;Contract_Register!$T$25,0,W27*(1+Contract_Register!$M$25*Assumptions!$F$178)*IF(AND(Assumptions!X$201&gt;Contract_Register!$T$25,MOD(Assumptions!X$201-Contract_Register!$T$25,Assumptions!$C$90)=0),Contract_Register!$S$25,1)))</f>
        <v>150.567067887974</v>
      </c>
      <c r="Y27" s="67" t="n">
        <f aca="false">IF(Y$5="A",Inputs_Actuals!Y27,IF(Assumptions!Y$201&lt;Contract_Register!$T$25,0,X27*(1+Contract_Register!$M$25*Assumptions!$F$178)*IF(AND(Assumptions!Y$201&gt;Contract_Register!$T$25,MOD(Assumptions!Y$201-Contract_Register!$T$25,Assumptions!$C$90)=0),Contract_Register!$S$25,1)))</f>
        <v>150.86820202375</v>
      </c>
      <c r="Z27" s="67" t="n">
        <f aca="false">IF(Z$5="A",Inputs_Actuals!Z27,IF(Assumptions!Z$201&lt;Contract_Register!$T$25,0,Y27*(1+Contract_Register!$M$25*Assumptions!$F$178)*IF(AND(Assumptions!Z$201&gt;Contract_Register!$T$25,MOD(Assumptions!Z$201-Contract_Register!$T$25,Assumptions!$C$90)=0),Contract_Register!$S$25,1)))</f>
        <v>151.169938427798</v>
      </c>
      <c r="AA27" s="67" t="n">
        <f aca="false">IF(AA$5="A",Inputs_Actuals!AA27,IF(Assumptions!AA$201&lt;Contract_Register!$T$25,0,Z27*(1+Contract_Register!$M$25*Assumptions!$F$178)*IF(AND(Assumptions!AA$201&gt;Contract_Register!$T$25,MOD(Assumptions!AA$201-Contract_Register!$T$25,Assumptions!$C$90)=0),Contract_Register!$S$25,1)))</f>
        <v>151.472278304653</v>
      </c>
      <c r="AB27" s="67" t="n">
        <f aca="false">IF(AB$5="A",Inputs_Actuals!AB27,IF(Assumptions!AB$201&lt;Contract_Register!$T$25,0,AA27*(1+Contract_Register!$M$25*Assumptions!$F$178)*IF(AND(Assumptions!AB$201&gt;Contract_Register!$T$25,MOD(Assumptions!AB$201-Contract_Register!$T$25,Assumptions!$C$90)=0),Contract_Register!$S$25,1)))</f>
        <v>151.775222861263</v>
      </c>
    </row>
    <row r="28" customFormat="false" ht="15" hidden="false" customHeight="false" outlineLevel="0" collapsed="false">
      <c r="A28" s="27" t="s">
        <v>793</v>
      </c>
      <c r="B28" s="63" t="s">
        <v>774</v>
      </c>
      <c r="C28" s="66" t="n">
        <f aca="false">P28</f>
        <v>129.027076098048</v>
      </c>
      <c r="D28" s="66" t="n">
        <f aca="false">AB28</f>
        <v>122.906955982345</v>
      </c>
      <c r="E28" s="67" t="n">
        <f aca="false">IF(E$5="A",Inputs_Actuals!E28,IF(Assumptions!E$201&lt;Contract_Register!$T$26,0,Contract_Register!$I$26*(1+Contract_Register!$M$26*Assumptions!$F$178)*IF(AND(Assumptions!E$201&gt;Contract_Register!$T$26,MOD(Assumptions!E$201-Contract_Register!$T$26,Assumptions!$C$90)=0),Contract_Register!$S$26,1)))</f>
        <v>125</v>
      </c>
      <c r="F28" s="67" t="n">
        <f aca="false">IF(F$5="A",Inputs_Actuals!F28,IF(Assumptions!F$201&lt;Contract_Register!$T$26,0,E28*(1+Contract_Register!$M$26*Assumptions!$F$178)*IF(AND(Assumptions!F$201&gt;Contract_Register!$T$26,MOD(Assumptions!F$201-Contract_Register!$T$26,Assumptions!$C$90)=0),Contract_Register!$S$26,1)))</f>
        <v>126</v>
      </c>
      <c r="G28" s="67" t="n">
        <f aca="false">IF(G$5="A",Inputs_Actuals!G28,IF(Assumptions!G$201&lt;Contract_Register!$T$26,0,F28*(1+Contract_Register!$M$26*Assumptions!$F$178)*IF(AND(Assumptions!G$201&gt;Contract_Register!$T$26,MOD(Assumptions!G$201-Contract_Register!$T$26,Assumptions!$C$90)=0),Contract_Register!$S$26,1)))</f>
        <v>126</v>
      </c>
      <c r="H28" s="67" t="n">
        <f aca="false">IF(H$5="A",Inputs_Actuals!H28,IF(Assumptions!H$201&lt;Contract_Register!$T$26,0,G28*(1+Contract_Register!$M$26*Assumptions!$F$178)*IF(AND(Assumptions!H$201&gt;Contract_Register!$T$26,MOD(Assumptions!H$201-Contract_Register!$T$26,Assumptions!$C$90)=0),Contract_Register!$S$26,1)))</f>
        <v>127</v>
      </c>
      <c r="I28" s="67" t="n">
        <f aca="false">IF(I$5="A",Inputs_Actuals!I28,IF(Assumptions!I$201&lt;Contract_Register!$T$26,0,H28*(1+Contract_Register!$M$26*Assumptions!$F$178)*IF(AND(Assumptions!I$201&gt;Contract_Register!$T$26,MOD(Assumptions!I$201-Contract_Register!$T$26,Assumptions!$C$90)=0),Contract_Register!$S$26,1)))</f>
        <v>127</v>
      </c>
      <c r="J28" s="67" t="n">
        <f aca="false">IF(J$5="A",Inputs_Actuals!J28,IF(Assumptions!J$201&lt;Contract_Register!$T$26,0,I28*(1+Contract_Register!$M$26*Assumptions!$F$178)*IF(AND(Assumptions!J$201&gt;Contract_Register!$T$26,MOD(Assumptions!J$201-Contract_Register!$T$26,Assumptions!$C$90)=0),Contract_Register!$S$26,1)))</f>
        <v>127</v>
      </c>
      <c r="K28" s="67" t="n">
        <f aca="false">IF(K$5="A",Inputs_Actuals!K28,IF(Assumptions!K$201&lt;Contract_Register!$T$26,0,J28*(1+Contract_Register!$M$26*Assumptions!$F$178)*IF(AND(Assumptions!K$201&gt;Contract_Register!$T$26,MOD(Assumptions!K$201-Contract_Register!$T$26,Assumptions!$C$90)=0),Contract_Register!$S$26,1)))</f>
        <v>128</v>
      </c>
      <c r="L28" s="67" t="n">
        <f aca="false">IF(L$5="A",Inputs_Actuals!L28,IF(Assumptions!L$201&lt;Contract_Register!$T$26,0,K28*(1+Contract_Register!$M$26*Assumptions!$F$178)*IF(AND(Assumptions!L$201&gt;Contract_Register!$T$26,MOD(Assumptions!L$201-Contract_Register!$T$26,Assumptions!$C$90)=0),Contract_Register!$S$26,1)))</f>
        <v>128</v>
      </c>
      <c r="M28" s="67" t="n">
        <f aca="false">IF(M$5="A",Inputs_Actuals!M28,IF(Assumptions!M$201&lt;Contract_Register!$T$26,0,L28*(1+Contract_Register!$M$26*Assumptions!$F$178)*IF(AND(Assumptions!M$201&gt;Contract_Register!$T$26,MOD(Assumptions!M$201-Contract_Register!$T$26,Assumptions!$C$90)=0),Contract_Register!$S$26,1)))</f>
        <v>128.256</v>
      </c>
      <c r="N28" s="67" t="n">
        <f aca="false">IF(N$5="A",Inputs_Actuals!N28,IF(Assumptions!N$201&lt;Contract_Register!$T$26,0,M28*(1+Contract_Register!$M$26*Assumptions!$F$178)*IF(AND(Assumptions!N$201&gt;Contract_Register!$T$26,MOD(Assumptions!N$201-Contract_Register!$T$26,Assumptions!$C$90)=0),Contract_Register!$S$26,1)))</f>
        <v>128.512512</v>
      </c>
      <c r="O28" s="67" t="n">
        <f aca="false">IF(O$5="A",Inputs_Actuals!O28,IF(Assumptions!O$201&lt;Contract_Register!$T$26,0,N28*(1+Contract_Register!$M$26*Assumptions!$F$178)*IF(AND(Assumptions!O$201&gt;Contract_Register!$T$26,MOD(Assumptions!O$201-Contract_Register!$T$26,Assumptions!$C$90)=0),Contract_Register!$S$26,1)))</f>
        <v>128.769537024</v>
      </c>
      <c r="P28" s="67" t="n">
        <f aca="false">IF(P$5="A",Inputs_Actuals!P28,IF(Assumptions!P$201&lt;Contract_Register!$T$26,0,O28*(1+Contract_Register!$M$26*Assumptions!$F$178)*IF(AND(Assumptions!P$201&gt;Contract_Register!$T$26,MOD(Assumptions!P$201-Contract_Register!$T$26,Assumptions!$C$90)=0),Contract_Register!$S$26,1)))</f>
        <v>129.027076098048</v>
      </c>
      <c r="Q28" s="67" t="n">
        <f aca="false">IF(Q$5="A",Inputs_Actuals!Q28,IF(Assumptions!Q$201&lt;Contract_Register!$T$26,0,P28*(1+Contract_Register!$M$26*Assumptions!$F$178)*IF(AND(Assumptions!Q$201&gt;Contract_Register!$T$26,MOD(Assumptions!Q$201-Contract_Register!$T$26,Assumptions!$C$90)=0),Contract_Register!$S$26,1)))</f>
        <v>120.235171132727</v>
      </c>
      <c r="R28" s="67" t="n">
        <f aca="false">IF(R$5="A",Inputs_Actuals!R28,IF(Assumptions!R$201&lt;Contract_Register!$T$26,0,Q28*(1+Contract_Register!$M$26*Assumptions!$F$178)*IF(AND(Assumptions!R$201&gt;Contract_Register!$T$26,MOD(Assumptions!R$201-Contract_Register!$T$26,Assumptions!$C$90)=0),Contract_Register!$S$26,1)))</f>
        <v>120.475641474992</v>
      </c>
      <c r="S28" s="67" t="n">
        <f aca="false">IF(S$5="A",Inputs_Actuals!S28,IF(Assumptions!S$201&lt;Contract_Register!$T$26,0,R28*(1+Contract_Register!$M$26*Assumptions!$F$178)*IF(AND(Assumptions!S$201&gt;Contract_Register!$T$26,MOD(Assumptions!S$201-Contract_Register!$T$26,Assumptions!$C$90)=0),Contract_Register!$S$26,1)))</f>
        <v>120.716592757942</v>
      </c>
      <c r="T28" s="67" t="n">
        <f aca="false">IF(T$5="A",Inputs_Actuals!T28,IF(Assumptions!T$201&lt;Contract_Register!$T$26,0,S28*(1+Contract_Register!$M$26*Assumptions!$F$178)*IF(AND(Assumptions!T$201&gt;Contract_Register!$T$26,MOD(Assumptions!T$201-Contract_Register!$T$26,Assumptions!$C$90)=0),Contract_Register!$S$26,1)))</f>
        <v>120.958025943458</v>
      </c>
      <c r="U28" s="67" t="n">
        <f aca="false">IF(U$5="A",Inputs_Actuals!U28,IF(Assumptions!U$201&lt;Contract_Register!$T$26,0,T28*(1+Contract_Register!$M$26*Assumptions!$F$178)*IF(AND(Assumptions!U$201&gt;Contract_Register!$T$26,MOD(Assumptions!U$201-Contract_Register!$T$26,Assumptions!$C$90)=0),Contract_Register!$S$26,1)))</f>
        <v>121.199941995345</v>
      </c>
      <c r="V28" s="67" t="n">
        <f aca="false">IF(V$5="A",Inputs_Actuals!V28,IF(Assumptions!V$201&lt;Contract_Register!$T$26,0,U28*(1+Contract_Register!$M$26*Assumptions!$F$178)*IF(AND(Assumptions!V$201&gt;Contract_Register!$T$26,MOD(Assumptions!V$201-Contract_Register!$T$26,Assumptions!$C$90)=0),Contract_Register!$S$26,1)))</f>
        <v>121.442341879336</v>
      </c>
      <c r="W28" s="67" t="n">
        <f aca="false">IF(W$5="A",Inputs_Actuals!W28,IF(Assumptions!W$201&lt;Contract_Register!$T$26,0,V28*(1+Contract_Register!$M$26*Assumptions!$F$178)*IF(AND(Assumptions!W$201&gt;Contract_Register!$T$26,MOD(Assumptions!W$201-Contract_Register!$T$26,Assumptions!$C$90)=0),Contract_Register!$S$26,1)))</f>
        <v>121.685226563095</v>
      </c>
      <c r="X28" s="67" t="n">
        <f aca="false">IF(X$5="A",Inputs_Actuals!X28,IF(Assumptions!X$201&lt;Contract_Register!$T$26,0,W28*(1+Contract_Register!$M$26*Assumptions!$F$178)*IF(AND(Assumptions!X$201&gt;Contract_Register!$T$26,MOD(Assumptions!X$201-Contract_Register!$T$26,Assumptions!$C$90)=0),Contract_Register!$S$26,1)))</f>
        <v>121.928597016221</v>
      </c>
      <c r="Y28" s="67" t="n">
        <f aca="false">IF(Y$5="A",Inputs_Actuals!Y28,IF(Assumptions!Y$201&lt;Contract_Register!$T$26,0,X28*(1+Contract_Register!$M$26*Assumptions!$F$178)*IF(AND(Assumptions!Y$201&gt;Contract_Register!$T$26,MOD(Assumptions!Y$201-Contract_Register!$T$26,Assumptions!$C$90)=0),Contract_Register!$S$26,1)))</f>
        <v>122.172454210253</v>
      </c>
      <c r="Z28" s="67" t="n">
        <f aca="false">IF(Z$5="A",Inputs_Actuals!Z28,IF(Assumptions!Z$201&lt;Contract_Register!$T$26,0,Y28*(1+Contract_Register!$M$26*Assumptions!$F$178)*IF(AND(Assumptions!Z$201&gt;Contract_Register!$T$26,MOD(Assumptions!Z$201-Contract_Register!$T$26,Assumptions!$C$90)=0),Contract_Register!$S$26,1)))</f>
        <v>122.416799118674</v>
      </c>
      <c r="AA28" s="67" t="n">
        <f aca="false">IF(AA$5="A",Inputs_Actuals!AA28,IF(Assumptions!AA$201&lt;Contract_Register!$T$26,0,Z28*(1+Contract_Register!$M$26*Assumptions!$F$178)*IF(AND(Assumptions!AA$201&gt;Contract_Register!$T$26,MOD(Assumptions!AA$201-Contract_Register!$T$26,Assumptions!$C$90)=0),Contract_Register!$S$26,1)))</f>
        <v>122.661632716911</v>
      </c>
      <c r="AB28" s="67" t="n">
        <f aca="false">IF(AB$5="A",Inputs_Actuals!AB28,IF(Assumptions!AB$201&lt;Contract_Register!$T$26,0,AA28*(1+Contract_Register!$M$26*Assumptions!$F$178)*IF(AND(Assumptions!AB$201&gt;Contract_Register!$T$26,MOD(Assumptions!AB$201-Contract_Register!$T$26,Assumptions!$C$90)=0),Contract_Register!$S$26,1)))</f>
        <v>122.906955982345</v>
      </c>
    </row>
    <row r="29" customFormat="false" ht="15" hidden="false" customHeight="false" outlineLevel="0" collapsed="false">
      <c r="A29" s="27" t="s">
        <v>794</v>
      </c>
      <c r="B29" s="63" t="s">
        <v>774</v>
      </c>
      <c r="C29" s="66" t="n">
        <f aca="false">P29</f>
        <v>65</v>
      </c>
      <c r="D29" s="66" t="n">
        <f aca="false">AB29</f>
        <v>65</v>
      </c>
      <c r="E29" s="67" t="n">
        <f aca="false">IF(E$5="A",Inputs_Actuals!E29,IF(Assumptions!E$201&lt;Contract_Register!$T$27,0,Contract_Register!$I$27*(1+Contract_Register!$M$27*Assumptions!$F$178)*IF(AND(Assumptions!E$201&gt;Contract_Register!$T$27,MOD(Assumptions!E$201-Contract_Register!$T$27,Assumptions!$C$90)=0),Contract_Register!$S$27,1)))</f>
        <v>65</v>
      </c>
      <c r="F29" s="67" t="n">
        <f aca="false">IF(F$5="A",Inputs_Actuals!F29,IF(Assumptions!F$201&lt;Contract_Register!$T$27,0,E29*(1+Contract_Register!$M$27*Assumptions!$F$178)*IF(AND(Assumptions!F$201&gt;Contract_Register!$T$27,MOD(Assumptions!F$201-Contract_Register!$T$27,Assumptions!$C$90)=0),Contract_Register!$S$27,1)))</f>
        <v>65</v>
      </c>
      <c r="G29" s="67" t="n">
        <f aca="false">IF(G$5="A",Inputs_Actuals!G29,IF(Assumptions!G$201&lt;Contract_Register!$T$27,0,F29*(1+Contract_Register!$M$27*Assumptions!$F$178)*IF(AND(Assumptions!G$201&gt;Contract_Register!$T$27,MOD(Assumptions!G$201-Contract_Register!$T$27,Assumptions!$C$90)=0),Contract_Register!$S$27,1)))</f>
        <v>65</v>
      </c>
      <c r="H29" s="67" t="n">
        <f aca="false">IF(H$5="A",Inputs_Actuals!H29,IF(Assumptions!H$201&lt;Contract_Register!$T$27,0,G29*(1+Contract_Register!$M$27*Assumptions!$F$178)*IF(AND(Assumptions!H$201&gt;Contract_Register!$T$27,MOD(Assumptions!H$201-Contract_Register!$T$27,Assumptions!$C$90)=0),Contract_Register!$S$27,1)))</f>
        <v>65</v>
      </c>
      <c r="I29" s="67" t="n">
        <f aca="false">IF(I$5="A",Inputs_Actuals!I29,IF(Assumptions!I$201&lt;Contract_Register!$T$27,0,H29*(1+Contract_Register!$M$27*Assumptions!$F$178)*IF(AND(Assumptions!I$201&gt;Contract_Register!$T$27,MOD(Assumptions!I$201-Contract_Register!$T$27,Assumptions!$C$90)=0),Contract_Register!$S$27,1)))</f>
        <v>65</v>
      </c>
      <c r="J29" s="67" t="n">
        <f aca="false">IF(J$5="A",Inputs_Actuals!J29,IF(Assumptions!J$201&lt;Contract_Register!$T$27,0,I29*(1+Contract_Register!$M$27*Assumptions!$F$178)*IF(AND(Assumptions!J$201&gt;Contract_Register!$T$27,MOD(Assumptions!J$201-Contract_Register!$T$27,Assumptions!$C$90)=0),Contract_Register!$S$27,1)))</f>
        <v>65</v>
      </c>
      <c r="K29" s="67" t="n">
        <f aca="false">IF(K$5="A",Inputs_Actuals!K29,IF(Assumptions!K$201&lt;Contract_Register!$T$27,0,J29*(1+Contract_Register!$M$27*Assumptions!$F$178)*IF(AND(Assumptions!K$201&gt;Contract_Register!$T$27,MOD(Assumptions!K$201-Contract_Register!$T$27,Assumptions!$C$90)=0),Contract_Register!$S$27,1)))</f>
        <v>65</v>
      </c>
      <c r="L29" s="67" t="n">
        <f aca="false">IF(L$5="A",Inputs_Actuals!L29,IF(Assumptions!L$201&lt;Contract_Register!$T$27,0,K29*(1+Contract_Register!$M$27*Assumptions!$F$178)*IF(AND(Assumptions!L$201&gt;Contract_Register!$T$27,MOD(Assumptions!L$201-Contract_Register!$T$27,Assumptions!$C$90)=0),Contract_Register!$S$27,1)))</f>
        <v>65</v>
      </c>
      <c r="M29" s="67" t="n">
        <f aca="false">IF(M$5="A",Inputs_Actuals!M29,IF(Assumptions!M$201&lt;Contract_Register!$T$27,0,L29*(1+Contract_Register!$M$27*Assumptions!$F$178)*IF(AND(Assumptions!M$201&gt;Contract_Register!$T$27,MOD(Assumptions!M$201-Contract_Register!$T$27,Assumptions!$C$90)=0),Contract_Register!$S$27,1)))</f>
        <v>65</v>
      </c>
      <c r="N29" s="67" t="n">
        <f aca="false">IF(N$5="A",Inputs_Actuals!N29,IF(Assumptions!N$201&lt;Contract_Register!$T$27,0,M29*(1+Contract_Register!$M$27*Assumptions!$F$178)*IF(AND(Assumptions!N$201&gt;Contract_Register!$T$27,MOD(Assumptions!N$201-Contract_Register!$T$27,Assumptions!$C$90)=0),Contract_Register!$S$27,1)))</f>
        <v>65</v>
      </c>
      <c r="O29" s="67" t="n">
        <f aca="false">IF(O$5="A",Inputs_Actuals!O29,IF(Assumptions!O$201&lt;Contract_Register!$T$27,0,N29*(1+Contract_Register!$M$27*Assumptions!$F$178)*IF(AND(Assumptions!O$201&gt;Contract_Register!$T$27,MOD(Assumptions!O$201-Contract_Register!$T$27,Assumptions!$C$90)=0),Contract_Register!$S$27,1)))</f>
        <v>65</v>
      </c>
      <c r="P29" s="67" t="n">
        <f aca="false">IF(P$5="A",Inputs_Actuals!P29,IF(Assumptions!P$201&lt;Contract_Register!$T$27,0,O29*(1+Contract_Register!$M$27*Assumptions!$F$178)*IF(AND(Assumptions!P$201&gt;Contract_Register!$T$27,MOD(Assumptions!P$201-Contract_Register!$T$27,Assumptions!$C$90)=0),Contract_Register!$S$27,1)))</f>
        <v>65</v>
      </c>
      <c r="Q29" s="67" t="n">
        <f aca="false">IF(Q$5="A",Inputs_Actuals!Q29,IF(Assumptions!Q$201&lt;Contract_Register!$T$27,0,P29*(1+Contract_Register!$M$27*Assumptions!$F$178)*IF(AND(Assumptions!Q$201&gt;Contract_Register!$T$27,MOD(Assumptions!Q$201-Contract_Register!$T$27,Assumptions!$C$90)=0),Contract_Register!$S$27,1)))</f>
        <v>65</v>
      </c>
      <c r="R29" s="67" t="n">
        <f aca="false">IF(R$5="A",Inputs_Actuals!R29,IF(Assumptions!R$201&lt;Contract_Register!$T$27,0,Q29*(1+Contract_Register!$M$27*Assumptions!$F$178)*IF(AND(Assumptions!R$201&gt;Contract_Register!$T$27,MOD(Assumptions!R$201-Contract_Register!$T$27,Assumptions!$C$90)=0),Contract_Register!$S$27,1)))</f>
        <v>65</v>
      </c>
      <c r="S29" s="67" t="n">
        <f aca="false">IF(S$5="A",Inputs_Actuals!S29,IF(Assumptions!S$201&lt;Contract_Register!$T$27,0,R29*(1+Contract_Register!$M$27*Assumptions!$F$178)*IF(AND(Assumptions!S$201&gt;Contract_Register!$T$27,MOD(Assumptions!S$201-Contract_Register!$T$27,Assumptions!$C$90)=0),Contract_Register!$S$27,1)))</f>
        <v>65</v>
      </c>
      <c r="T29" s="67" t="n">
        <f aca="false">IF(T$5="A",Inputs_Actuals!T29,IF(Assumptions!T$201&lt;Contract_Register!$T$27,0,S29*(1+Contract_Register!$M$27*Assumptions!$F$178)*IF(AND(Assumptions!T$201&gt;Contract_Register!$T$27,MOD(Assumptions!T$201-Contract_Register!$T$27,Assumptions!$C$90)=0),Contract_Register!$S$27,1)))</f>
        <v>65</v>
      </c>
      <c r="U29" s="67" t="n">
        <f aca="false">IF(U$5="A",Inputs_Actuals!U29,IF(Assumptions!U$201&lt;Contract_Register!$T$27,0,T29*(1+Contract_Register!$M$27*Assumptions!$F$178)*IF(AND(Assumptions!U$201&gt;Contract_Register!$T$27,MOD(Assumptions!U$201-Contract_Register!$T$27,Assumptions!$C$90)=0),Contract_Register!$S$27,1)))</f>
        <v>65</v>
      </c>
      <c r="V29" s="67" t="n">
        <f aca="false">IF(V$5="A",Inputs_Actuals!V29,IF(Assumptions!V$201&lt;Contract_Register!$T$27,0,U29*(1+Contract_Register!$M$27*Assumptions!$F$178)*IF(AND(Assumptions!V$201&gt;Contract_Register!$T$27,MOD(Assumptions!V$201-Contract_Register!$T$27,Assumptions!$C$90)=0),Contract_Register!$S$27,1)))</f>
        <v>65</v>
      </c>
      <c r="W29" s="67" t="n">
        <f aca="false">IF(W$5="A",Inputs_Actuals!W29,IF(Assumptions!W$201&lt;Contract_Register!$T$27,0,V29*(1+Contract_Register!$M$27*Assumptions!$F$178)*IF(AND(Assumptions!W$201&gt;Contract_Register!$T$27,MOD(Assumptions!W$201-Contract_Register!$T$27,Assumptions!$C$90)=0),Contract_Register!$S$27,1)))</f>
        <v>65</v>
      </c>
      <c r="X29" s="67" t="n">
        <f aca="false">IF(X$5="A",Inputs_Actuals!X29,IF(Assumptions!X$201&lt;Contract_Register!$T$27,0,W29*(1+Contract_Register!$M$27*Assumptions!$F$178)*IF(AND(Assumptions!X$201&gt;Contract_Register!$T$27,MOD(Assumptions!X$201-Contract_Register!$T$27,Assumptions!$C$90)=0),Contract_Register!$S$27,1)))</f>
        <v>65</v>
      </c>
      <c r="Y29" s="67" t="n">
        <f aca="false">IF(Y$5="A",Inputs_Actuals!Y29,IF(Assumptions!Y$201&lt;Contract_Register!$T$27,0,X29*(1+Contract_Register!$M$27*Assumptions!$F$178)*IF(AND(Assumptions!Y$201&gt;Contract_Register!$T$27,MOD(Assumptions!Y$201-Contract_Register!$T$27,Assumptions!$C$90)=0),Contract_Register!$S$27,1)))</f>
        <v>65</v>
      </c>
      <c r="Z29" s="67" t="n">
        <f aca="false">IF(Z$5="A",Inputs_Actuals!Z29,IF(Assumptions!Z$201&lt;Contract_Register!$T$27,0,Y29*(1+Contract_Register!$M$27*Assumptions!$F$178)*IF(AND(Assumptions!Z$201&gt;Contract_Register!$T$27,MOD(Assumptions!Z$201-Contract_Register!$T$27,Assumptions!$C$90)=0),Contract_Register!$S$27,1)))</f>
        <v>65</v>
      </c>
      <c r="AA29" s="67" t="n">
        <f aca="false">IF(AA$5="A",Inputs_Actuals!AA29,IF(Assumptions!AA$201&lt;Contract_Register!$T$27,0,Z29*(1+Contract_Register!$M$27*Assumptions!$F$178)*IF(AND(Assumptions!AA$201&gt;Contract_Register!$T$27,MOD(Assumptions!AA$201-Contract_Register!$T$27,Assumptions!$C$90)=0),Contract_Register!$S$27,1)))</f>
        <v>65</v>
      </c>
      <c r="AB29" s="67" t="n">
        <f aca="false">IF(AB$5="A",Inputs_Actuals!AB29,IF(Assumptions!AB$201&lt;Contract_Register!$T$27,0,AA29*(1+Contract_Register!$M$27*Assumptions!$F$178)*IF(AND(Assumptions!AB$201&gt;Contract_Register!$T$27,MOD(Assumptions!AB$201-Contract_Register!$T$27,Assumptions!$C$90)=0),Contract_Register!$S$27,1)))</f>
        <v>65</v>
      </c>
    </row>
    <row r="30" customFormat="false" ht="15" hidden="false" customHeight="false" outlineLevel="0" collapsed="false">
      <c r="A30" s="27" t="s">
        <v>795</v>
      </c>
      <c r="B30" s="63" t="s">
        <v>774</v>
      </c>
      <c r="C30" s="66" t="n">
        <f aca="false">P30</f>
        <v>98.169248483857</v>
      </c>
      <c r="D30" s="66" t="n">
        <f aca="false">AB30</f>
        <v>95.6565065806706</v>
      </c>
      <c r="E30" s="67" t="n">
        <f aca="false">IF(E$5="A",Inputs_Actuals!E30,IF(Assumptions!E$201&lt;Contract_Register!$T$28,0,Contract_Register!$I$28*(1+Contract_Register!$M$28*Assumptions!$F$178)*IF(AND(Assumptions!E$201&gt;Contract_Register!$T$28,MOD(Assumptions!E$201-Contract_Register!$T$28,Assumptions!$C$90)=0),Contract_Register!$S$28,1)))</f>
        <v>95</v>
      </c>
      <c r="F30" s="67" t="n">
        <f aca="false">IF(F$5="A",Inputs_Actuals!F30,IF(Assumptions!F$201&lt;Contract_Register!$T$28,0,E30*(1+Contract_Register!$M$28*Assumptions!$F$178)*IF(AND(Assumptions!F$201&gt;Contract_Register!$T$28,MOD(Assumptions!F$201-Contract_Register!$T$28,Assumptions!$C$90)=0),Contract_Register!$S$28,1)))</f>
        <v>96</v>
      </c>
      <c r="G30" s="67" t="n">
        <f aca="false">IF(G$5="A",Inputs_Actuals!G30,IF(Assumptions!G$201&lt;Contract_Register!$T$28,0,F30*(1+Contract_Register!$M$28*Assumptions!$F$178)*IF(AND(Assumptions!G$201&gt;Contract_Register!$T$28,MOD(Assumptions!G$201-Contract_Register!$T$28,Assumptions!$C$90)=0),Contract_Register!$S$28,1)))</f>
        <v>96</v>
      </c>
      <c r="H30" s="67" t="n">
        <f aca="false">IF(H$5="A",Inputs_Actuals!H30,IF(Assumptions!H$201&lt;Contract_Register!$T$28,0,G30*(1+Contract_Register!$M$28*Assumptions!$F$178)*IF(AND(Assumptions!H$201&gt;Contract_Register!$T$28,MOD(Assumptions!H$201-Contract_Register!$T$28,Assumptions!$C$90)=0),Contract_Register!$S$28,1)))</f>
        <v>96</v>
      </c>
      <c r="I30" s="67" t="n">
        <f aca="false">IF(I$5="A",Inputs_Actuals!I30,IF(Assumptions!I$201&lt;Contract_Register!$T$28,0,H30*(1+Contract_Register!$M$28*Assumptions!$F$178)*IF(AND(Assumptions!I$201&gt;Contract_Register!$T$28,MOD(Assumptions!I$201-Contract_Register!$T$28,Assumptions!$C$90)=0),Contract_Register!$S$28,1)))</f>
        <v>96</v>
      </c>
      <c r="J30" s="67" t="n">
        <f aca="false">IF(J$5="A",Inputs_Actuals!J30,IF(Assumptions!J$201&lt;Contract_Register!$T$28,0,I30*(1+Contract_Register!$M$28*Assumptions!$F$178)*IF(AND(Assumptions!J$201&gt;Contract_Register!$T$28,MOD(Assumptions!J$201-Contract_Register!$T$28,Assumptions!$C$90)=0),Contract_Register!$S$28,1)))</f>
        <v>96</v>
      </c>
      <c r="K30" s="67" t="n">
        <f aca="false">IF(K$5="A",Inputs_Actuals!K30,IF(Assumptions!K$201&lt;Contract_Register!$T$28,0,J30*(1+Contract_Register!$M$28*Assumptions!$F$178)*IF(AND(Assumptions!K$201&gt;Contract_Register!$T$28,MOD(Assumptions!K$201-Contract_Register!$T$28,Assumptions!$C$90)=0),Contract_Register!$S$28,1)))</f>
        <v>97</v>
      </c>
      <c r="L30" s="67" t="n">
        <f aca="false">IF(L$5="A",Inputs_Actuals!L30,IF(Assumptions!L$201&lt;Contract_Register!$T$28,0,K30*(1+Contract_Register!$M$28*Assumptions!$F$178)*IF(AND(Assumptions!L$201&gt;Contract_Register!$T$28,MOD(Assumptions!L$201-Contract_Register!$T$28,Assumptions!$C$90)=0),Contract_Register!$S$28,1)))</f>
        <v>97</v>
      </c>
      <c r="M30" s="67" t="n">
        <f aca="false">IF(M$5="A",Inputs_Actuals!M30,IF(Assumptions!M$201&lt;Contract_Register!$T$28,0,L30*(1+Contract_Register!$M$28*Assumptions!$F$178)*IF(AND(Assumptions!M$201&gt;Contract_Register!$T$28,MOD(Assumptions!M$201-Contract_Register!$T$28,Assumptions!$C$90)=0),Contract_Register!$S$28,1)))</f>
        <v>97.291</v>
      </c>
      <c r="N30" s="67" t="n">
        <f aca="false">IF(N$5="A",Inputs_Actuals!N30,IF(Assumptions!N$201&lt;Contract_Register!$T$28,0,M30*(1+Contract_Register!$M$28*Assumptions!$F$178)*IF(AND(Assumptions!N$201&gt;Contract_Register!$T$28,MOD(Assumptions!N$201-Contract_Register!$T$28,Assumptions!$C$90)=0),Contract_Register!$S$28,1)))</f>
        <v>97.582873</v>
      </c>
      <c r="O30" s="67" t="n">
        <f aca="false">IF(O$5="A",Inputs_Actuals!O30,IF(Assumptions!O$201&lt;Contract_Register!$T$28,0,N30*(1+Contract_Register!$M$28*Assumptions!$F$178)*IF(AND(Assumptions!O$201&gt;Contract_Register!$T$28,MOD(Assumptions!O$201-Contract_Register!$T$28,Assumptions!$C$90)=0),Contract_Register!$S$28,1)))</f>
        <v>97.875621619</v>
      </c>
      <c r="P30" s="67" t="n">
        <f aca="false">IF(P$5="A",Inputs_Actuals!P30,IF(Assumptions!P$201&lt;Contract_Register!$T$28,0,O30*(1+Contract_Register!$M$28*Assumptions!$F$178)*IF(AND(Assumptions!P$201&gt;Contract_Register!$T$28,MOD(Assumptions!P$201-Contract_Register!$T$28,Assumptions!$C$90)=0),Contract_Register!$S$28,1)))</f>
        <v>98.169248483857</v>
      </c>
      <c r="Q30" s="67" t="n">
        <f aca="false">IF(Q$5="A",Inputs_Actuals!Q30,IF(Assumptions!Q$201&lt;Contract_Register!$T$28,0,P30*(1+Contract_Register!$M$28*Assumptions!$F$178)*IF(AND(Assumptions!Q$201&gt;Contract_Register!$T$28,MOD(Assumptions!Q$201-Contract_Register!$T$28,Assumptions!$C$90)=0),Contract_Register!$S$28,1)))</f>
        <v>98.4637562293085</v>
      </c>
      <c r="R30" s="67" t="n">
        <f aca="false">IF(R$5="A",Inputs_Actuals!R30,IF(Assumptions!R$201&lt;Contract_Register!$T$28,0,Q30*(1+Contract_Register!$M$28*Assumptions!$F$178)*IF(AND(Assumptions!R$201&gt;Contract_Register!$T$28,MOD(Assumptions!R$201-Contract_Register!$T$28,Assumptions!$C$90)=0),Contract_Register!$S$28,1)))</f>
        <v>98.7591474979964</v>
      </c>
      <c r="S30" s="67" t="n">
        <f aca="false">IF(S$5="A",Inputs_Actuals!S30,IF(Assumptions!S$201&lt;Contract_Register!$T$28,0,R30*(1+Contract_Register!$M$28*Assumptions!$F$178)*IF(AND(Assumptions!S$201&gt;Contract_Register!$T$28,MOD(Assumptions!S$201-Contract_Register!$T$28,Assumptions!$C$90)=0),Contract_Register!$S$28,1)))</f>
        <v>99.0554249404904</v>
      </c>
      <c r="T30" s="67" t="n">
        <f aca="false">IF(T$5="A",Inputs_Actuals!T30,IF(Assumptions!T$201&lt;Contract_Register!$T$28,0,S30*(1+Contract_Register!$M$28*Assumptions!$F$178)*IF(AND(Assumptions!T$201&gt;Contract_Register!$T$28,MOD(Assumptions!T$201-Contract_Register!$T$28,Assumptions!$C$90)=0),Contract_Register!$S$28,1)))</f>
        <v>99.3525912153119</v>
      </c>
      <c r="U30" s="67" t="n">
        <f aca="false">IF(U$5="A",Inputs_Actuals!U30,IF(Assumptions!U$201&lt;Contract_Register!$T$28,0,T30*(1+Contract_Register!$M$28*Assumptions!$F$178)*IF(AND(Assumptions!U$201&gt;Contract_Register!$T$28,MOD(Assumptions!U$201-Contract_Register!$T$28,Assumptions!$C$90)=0),Contract_Register!$S$28,1)))</f>
        <v>99.6506489889578</v>
      </c>
      <c r="V30" s="67" t="n">
        <f aca="false">IF(V$5="A",Inputs_Actuals!V30,IF(Assumptions!V$201&lt;Contract_Register!$T$28,0,U30*(1+Contract_Register!$M$28*Assumptions!$F$178)*IF(AND(Assumptions!V$201&gt;Contract_Register!$T$28,MOD(Assumptions!V$201-Contract_Register!$T$28,Assumptions!$C$90)=0),Contract_Register!$S$28,1)))</f>
        <v>99.9496009359247</v>
      </c>
      <c r="W30" s="67" t="n">
        <f aca="false">IF(W$5="A",Inputs_Actuals!W30,IF(Assumptions!W$201&lt;Contract_Register!$T$28,0,V30*(1+Contract_Register!$M$28*Assumptions!$F$178)*IF(AND(Assumptions!W$201&gt;Contract_Register!$T$28,MOD(Assumptions!W$201-Contract_Register!$T$28,Assumptions!$C$90)=0),Contract_Register!$S$28,1)))</f>
        <v>100.249449738732</v>
      </c>
      <c r="X30" s="67" t="n">
        <f aca="false">IF(X$5="A",Inputs_Actuals!X30,IF(Assumptions!X$201&lt;Contract_Register!$T$28,0,W30*(1+Contract_Register!$M$28*Assumptions!$F$178)*IF(AND(Assumptions!X$201&gt;Contract_Register!$T$28,MOD(Assumptions!X$201-Contract_Register!$T$28,Assumptions!$C$90)=0),Contract_Register!$S$28,1)))</f>
        <v>100.550198087949</v>
      </c>
      <c r="Y30" s="67" t="n">
        <f aca="false">IF(Y$5="A",Inputs_Actuals!Y30,IF(Assumptions!Y$201&lt;Contract_Register!$T$28,0,X30*(1+Contract_Register!$M$28*Assumptions!$F$178)*IF(AND(Assumptions!Y$201&gt;Contract_Register!$T$28,MOD(Assumptions!Y$201-Contract_Register!$T$28,Assumptions!$C$90)=0),Contract_Register!$S$28,1)))</f>
        <v>100.851848682212</v>
      </c>
      <c r="Z30" s="67" t="n">
        <f aca="false">IF(Z$5="A",Inputs_Actuals!Z30,IF(Assumptions!Z$201&lt;Contract_Register!$T$28,0,Y30*(1+Contract_Register!$M$28*Assumptions!$F$178)*IF(AND(Assumptions!Z$201&gt;Contract_Register!$T$28,MOD(Assumptions!Z$201-Contract_Register!$T$28,Assumptions!$C$90)=0),Contract_Register!$S$28,1)))</f>
        <v>101.154404228259</v>
      </c>
      <c r="AA30" s="67" t="n">
        <f aca="false">IF(AA$5="A",Inputs_Actuals!AA30,IF(Assumptions!AA$201&lt;Contract_Register!$T$28,0,Z30*(1+Contract_Register!$M$28*Assumptions!$F$178)*IF(AND(Assumptions!AA$201&gt;Contract_Register!$T$28,MOD(Assumptions!AA$201-Contract_Register!$T$28,Assumptions!$C$90)=0),Contract_Register!$S$28,1)))</f>
        <v>95.3703953944872</v>
      </c>
      <c r="AB30" s="67" t="n">
        <f aca="false">IF(AB$5="A",Inputs_Actuals!AB30,IF(Assumptions!AB$201&lt;Contract_Register!$T$28,0,AA30*(1+Contract_Register!$M$28*Assumptions!$F$178)*IF(AND(Assumptions!AB$201&gt;Contract_Register!$T$28,MOD(Assumptions!AB$201-Contract_Register!$T$28,Assumptions!$C$90)=0),Contract_Register!$S$28,1)))</f>
        <v>95.6565065806706</v>
      </c>
    </row>
    <row r="31" customFormat="false" ht="15" hidden="false" customHeight="false" outlineLevel="0" collapsed="false">
      <c r="A31" s="27" t="s">
        <v>796</v>
      </c>
      <c r="B31" s="63" t="s">
        <v>774</v>
      </c>
      <c r="C31" s="66" t="n">
        <f aca="false">P31</f>
        <v>41.494218431321</v>
      </c>
      <c r="D31" s="66" t="n">
        <f aca="false">AB31</f>
        <v>43.0129060079787</v>
      </c>
      <c r="E31" s="67" t="n">
        <f aca="false">IF(E$5="A",Inputs_Actuals!E31,IF(Assumptions!E$201&lt;Contract_Register!$T$29,0,Contract_Register!$I$29*(1+Contract_Register!$M$29*Assumptions!$F$178)*IF(AND(Assumptions!E$201&gt;Contract_Register!$T$29,MOD(Assumptions!E$201-Contract_Register!$T$29,Assumptions!$C$90)=0),Contract_Register!$S$29,1)))</f>
        <v>40</v>
      </c>
      <c r="F31" s="67" t="n">
        <f aca="false">IF(F$5="A",Inputs_Actuals!F31,IF(Assumptions!F$201&lt;Contract_Register!$T$29,0,E31*(1+Contract_Register!$M$29*Assumptions!$F$178)*IF(AND(Assumptions!F$201&gt;Contract_Register!$T$29,MOD(Assumptions!F$201-Contract_Register!$T$29,Assumptions!$C$90)=0),Contract_Register!$S$29,1)))</f>
        <v>40</v>
      </c>
      <c r="G31" s="67" t="n">
        <f aca="false">IF(G$5="A",Inputs_Actuals!G31,IF(Assumptions!G$201&lt;Contract_Register!$T$29,0,F31*(1+Contract_Register!$M$29*Assumptions!$F$178)*IF(AND(Assumptions!G$201&gt;Contract_Register!$T$29,MOD(Assumptions!G$201-Contract_Register!$T$29,Assumptions!$C$90)=0),Contract_Register!$S$29,1)))</f>
        <v>40</v>
      </c>
      <c r="H31" s="67" t="n">
        <f aca="false">IF(H$5="A",Inputs_Actuals!H31,IF(Assumptions!H$201&lt;Contract_Register!$T$29,0,G31*(1+Contract_Register!$M$29*Assumptions!$F$178)*IF(AND(Assumptions!H$201&gt;Contract_Register!$T$29,MOD(Assumptions!H$201-Contract_Register!$T$29,Assumptions!$C$90)=0),Contract_Register!$S$29,1)))</f>
        <v>41</v>
      </c>
      <c r="I31" s="67" t="n">
        <f aca="false">IF(I$5="A",Inputs_Actuals!I31,IF(Assumptions!I$201&lt;Contract_Register!$T$29,0,H31*(1+Contract_Register!$M$29*Assumptions!$F$178)*IF(AND(Assumptions!I$201&gt;Contract_Register!$T$29,MOD(Assumptions!I$201-Contract_Register!$T$29,Assumptions!$C$90)=0),Contract_Register!$S$29,1)))</f>
        <v>41</v>
      </c>
      <c r="J31" s="67" t="n">
        <f aca="false">IF(J$5="A",Inputs_Actuals!J31,IF(Assumptions!J$201&lt;Contract_Register!$T$29,0,I31*(1+Contract_Register!$M$29*Assumptions!$F$178)*IF(AND(Assumptions!J$201&gt;Contract_Register!$T$29,MOD(Assumptions!J$201-Contract_Register!$T$29,Assumptions!$C$90)=0),Contract_Register!$S$29,1)))</f>
        <v>41</v>
      </c>
      <c r="K31" s="67" t="n">
        <f aca="false">IF(K$5="A",Inputs_Actuals!K31,IF(Assumptions!K$201&lt;Contract_Register!$T$29,0,J31*(1+Contract_Register!$M$29*Assumptions!$F$178)*IF(AND(Assumptions!K$201&gt;Contract_Register!$T$29,MOD(Assumptions!K$201-Contract_Register!$T$29,Assumptions!$C$90)=0),Contract_Register!$S$29,1)))</f>
        <v>41</v>
      </c>
      <c r="L31" s="67" t="n">
        <f aca="false">IF(L$5="A",Inputs_Actuals!L31,IF(Assumptions!L$201&lt;Contract_Register!$T$29,0,K31*(1+Contract_Register!$M$29*Assumptions!$F$178)*IF(AND(Assumptions!L$201&gt;Contract_Register!$T$29,MOD(Assumptions!L$201-Contract_Register!$T$29,Assumptions!$C$90)=0),Contract_Register!$S$29,1)))</f>
        <v>41</v>
      </c>
      <c r="M31" s="67" t="n">
        <f aca="false">IF(M$5="A",Inputs_Actuals!M31,IF(Assumptions!M$201&lt;Contract_Register!$T$29,0,L31*(1+Contract_Register!$M$29*Assumptions!$F$178)*IF(AND(Assumptions!M$201&gt;Contract_Register!$T$29,MOD(Assumptions!M$201-Contract_Register!$T$29,Assumptions!$C$90)=0),Contract_Register!$S$29,1)))</f>
        <v>41.123</v>
      </c>
      <c r="N31" s="67" t="n">
        <f aca="false">IF(N$5="A",Inputs_Actuals!N31,IF(Assumptions!N$201&lt;Contract_Register!$T$29,0,M31*(1+Contract_Register!$M$29*Assumptions!$F$178)*IF(AND(Assumptions!N$201&gt;Contract_Register!$T$29,MOD(Assumptions!N$201-Contract_Register!$T$29,Assumptions!$C$90)=0),Contract_Register!$S$29,1)))</f>
        <v>41.246369</v>
      </c>
      <c r="O31" s="67" t="n">
        <f aca="false">IF(O$5="A",Inputs_Actuals!O31,IF(Assumptions!O$201&lt;Contract_Register!$T$29,0,N31*(1+Contract_Register!$M$29*Assumptions!$F$178)*IF(AND(Assumptions!O$201&gt;Contract_Register!$T$29,MOD(Assumptions!O$201-Contract_Register!$T$29,Assumptions!$C$90)=0),Contract_Register!$S$29,1)))</f>
        <v>41.370108107</v>
      </c>
      <c r="P31" s="67" t="n">
        <f aca="false">IF(P$5="A",Inputs_Actuals!P31,IF(Assumptions!P$201&lt;Contract_Register!$T$29,0,O31*(1+Contract_Register!$M$29*Assumptions!$F$178)*IF(AND(Assumptions!P$201&gt;Contract_Register!$T$29,MOD(Assumptions!P$201-Contract_Register!$T$29,Assumptions!$C$90)=0),Contract_Register!$S$29,1)))</f>
        <v>41.494218431321</v>
      </c>
      <c r="Q31" s="67" t="n">
        <f aca="false">IF(Q$5="A",Inputs_Actuals!Q31,IF(Assumptions!Q$201&lt;Contract_Register!$T$29,0,P31*(1+Contract_Register!$M$29*Assumptions!$F$178)*IF(AND(Assumptions!Q$201&gt;Contract_Register!$T$29,MOD(Assumptions!Q$201-Contract_Register!$T$29,Assumptions!$C$90)=0),Contract_Register!$S$29,1)))</f>
        <v>41.618701086615</v>
      </c>
      <c r="R31" s="67" t="n">
        <f aca="false">IF(R$5="A",Inputs_Actuals!R31,IF(Assumptions!R$201&lt;Contract_Register!$T$29,0,Q31*(1+Contract_Register!$M$29*Assumptions!$F$178)*IF(AND(Assumptions!R$201&gt;Contract_Register!$T$29,MOD(Assumptions!R$201-Contract_Register!$T$29,Assumptions!$C$90)=0),Contract_Register!$S$29,1)))</f>
        <v>41.7435571898748</v>
      </c>
      <c r="S31" s="67" t="n">
        <f aca="false">IF(S$5="A",Inputs_Actuals!S31,IF(Assumptions!S$201&lt;Contract_Register!$T$29,0,R31*(1+Contract_Register!$M$29*Assumptions!$F$178)*IF(AND(Assumptions!S$201&gt;Contract_Register!$T$29,MOD(Assumptions!S$201-Contract_Register!$T$29,Assumptions!$C$90)=0),Contract_Register!$S$29,1)))</f>
        <v>41.8687878614444</v>
      </c>
      <c r="T31" s="67" t="n">
        <f aca="false">IF(T$5="A",Inputs_Actuals!T31,IF(Assumptions!T$201&lt;Contract_Register!$T$29,0,S31*(1+Contract_Register!$M$29*Assumptions!$F$178)*IF(AND(Assumptions!T$201&gt;Contract_Register!$T$29,MOD(Assumptions!T$201-Contract_Register!$T$29,Assumptions!$C$90)=0),Contract_Register!$S$29,1)))</f>
        <v>41.9943942250287</v>
      </c>
      <c r="U31" s="67" t="n">
        <f aca="false">IF(U$5="A",Inputs_Actuals!U31,IF(Assumptions!U$201&lt;Contract_Register!$T$29,0,T31*(1+Contract_Register!$M$29*Assumptions!$F$178)*IF(AND(Assumptions!U$201&gt;Contract_Register!$T$29,MOD(Assumptions!U$201-Contract_Register!$T$29,Assumptions!$C$90)=0),Contract_Register!$S$29,1)))</f>
        <v>42.1203774077038</v>
      </c>
      <c r="V31" s="67" t="n">
        <f aca="false">IF(V$5="A",Inputs_Actuals!V31,IF(Assumptions!V$201&lt;Contract_Register!$T$29,0,U31*(1+Contract_Register!$M$29*Assumptions!$F$178)*IF(AND(Assumptions!V$201&gt;Contract_Register!$T$29,MOD(Assumptions!V$201-Contract_Register!$T$29,Assumptions!$C$90)=0),Contract_Register!$S$29,1)))</f>
        <v>42.2467385399269</v>
      </c>
      <c r="W31" s="67" t="n">
        <f aca="false">IF(W$5="A",Inputs_Actuals!W31,IF(Assumptions!W$201&lt;Contract_Register!$T$29,0,V31*(1+Contract_Register!$M$29*Assumptions!$F$178)*IF(AND(Assumptions!W$201&gt;Contract_Register!$T$29,MOD(Assumptions!W$201-Contract_Register!$T$29,Assumptions!$C$90)=0),Contract_Register!$S$29,1)))</f>
        <v>42.3734787555467</v>
      </c>
      <c r="X31" s="67" t="n">
        <f aca="false">IF(X$5="A",Inputs_Actuals!X31,IF(Assumptions!X$201&lt;Contract_Register!$T$29,0,W31*(1+Contract_Register!$M$29*Assumptions!$F$178)*IF(AND(Assumptions!X$201&gt;Contract_Register!$T$29,MOD(Assumptions!X$201-Contract_Register!$T$29,Assumptions!$C$90)=0),Contract_Register!$S$29,1)))</f>
        <v>42.5005991918133</v>
      </c>
      <c r="Y31" s="67" t="n">
        <f aca="false">IF(Y$5="A",Inputs_Actuals!Y31,IF(Assumptions!Y$201&lt;Contract_Register!$T$29,0,X31*(1+Contract_Register!$M$29*Assumptions!$F$178)*IF(AND(Assumptions!Y$201&gt;Contract_Register!$T$29,MOD(Assumptions!Y$201-Contract_Register!$T$29,Assumptions!$C$90)=0),Contract_Register!$S$29,1)))</f>
        <v>42.6281009893888</v>
      </c>
      <c r="Z31" s="67" t="n">
        <f aca="false">IF(Z$5="A",Inputs_Actuals!Z31,IF(Assumptions!Z$201&lt;Contract_Register!$T$29,0,Y31*(1+Contract_Register!$M$29*Assumptions!$F$178)*IF(AND(Assumptions!Z$201&gt;Contract_Register!$T$29,MOD(Assumptions!Z$201-Contract_Register!$T$29,Assumptions!$C$90)=0),Contract_Register!$S$29,1)))</f>
        <v>42.7559852923569</v>
      </c>
      <c r="AA31" s="67" t="n">
        <f aca="false">IF(AA$5="A",Inputs_Actuals!AA31,IF(Assumptions!AA$201&lt;Contract_Register!$T$29,0,Z31*(1+Contract_Register!$M$29*Assumptions!$F$178)*IF(AND(Assumptions!AA$201&gt;Contract_Register!$T$29,MOD(Assumptions!AA$201-Contract_Register!$T$29,Assumptions!$C$90)=0),Contract_Register!$S$29,1)))</f>
        <v>42.884253248234</v>
      </c>
      <c r="AB31" s="67" t="n">
        <f aca="false">IF(AB$5="A",Inputs_Actuals!AB31,IF(Assumptions!AB$201&lt;Contract_Register!$T$29,0,AA31*(1+Contract_Register!$M$29*Assumptions!$F$178)*IF(AND(Assumptions!AB$201&gt;Contract_Register!$T$29,MOD(Assumptions!AB$201-Contract_Register!$T$29,Assumptions!$C$90)=0),Contract_Register!$S$29,1)))</f>
        <v>43.0129060079787</v>
      </c>
    </row>
    <row r="32" customFormat="false" ht="15" hidden="false" customHeight="false" outlineLevel="0" collapsed="false">
      <c r="A32" s="27" t="s">
        <v>797</v>
      </c>
      <c r="B32" s="63" t="s">
        <v>774</v>
      </c>
      <c r="C32" s="66" t="n">
        <f aca="false">P32</f>
        <v>0</v>
      </c>
      <c r="D32" s="66" t="n">
        <f aca="false">AB32</f>
        <v>0</v>
      </c>
      <c r="E32" s="67" t="n">
        <f aca="false">IF(E$5="A",Inputs_Actuals!E32,IF(Assumptions!E$201&lt;Contract_Register!$T$30,0,Contract_Register!$I$30*(1+Contract_Register!$M$30*Assumptions!$F$178)*IF(AND(Assumptions!E$201&gt;Contract_Register!$T$30,MOD(Assumptions!E$201-Contract_Register!$T$30,Assumptions!$C$90)=0),Contract_Register!$S$30,1)))</f>
        <v>151</v>
      </c>
      <c r="F32" s="67" t="n">
        <f aca="false">IF(F$5="A",Inputs_Actuals!F32,IF(Assumptions!F$201&lt;Contract_Register!$T$30,0,E32*(1+Contract_Register!$M$30*Assumptions!$F$178)*IF(AND(Assumptions!F$201&gt;Contract_Register!$T$30,MOD(Assumptions!F$201-Contract_Register!$T$30,Assumptions!$C$90)=0),Contract_Register!$S$30,1)))</f>
        <v>151</v>
      </c>
      <c r="G32" s="67" t="n">
        <f aca="false">IF(G$5="A",Inputs_Actuals!G32,IF(Assumptions!G$201&lt;Contract_Register!$T$30,0,F32*(1+Contract_Register!$M$30*Assumptions!$F$178)*IF(AND(Assumptions!G$201&gt;Contract_Register!$T$30,MOD(Assumptions!G$201-Contract_Register!$T$30,Assumptions!$C$90)=0),Contract_Register!$S$30,1)))</f>
        <v>150</v>
      </c>
      <c r="H32" s="67" t="n">
        <f aca="false">IF(H$5="A",Inputs_Actuals!H32,IF(Assumptions!H$201&lt;Contract_Register!$T$30,0,G32*(1+Contract_Register!$M$30*Assumptions!$F$178)*IF(AND(Assumptions!H$201&gt;Contract_Register!$T$30,MOD(Assumptions!H$201-Contract_Register!$T$30,Assumptions!$C$90)=0),Contract_Register!$S$30,1)))</f>
        <v>150</v>
      </c>
      <c r="I32" s="67" t="n">
        <f aca="false">IF(I$5="A",Inputs_Actuals!I32,IF(Assumptions!I$201&lt;Contract_Register!$T$30,0,H32*(1+Contract_Register!$M$30*Assumptions!$F$178)*IF(AND(Assumptions!I$201&gt;Contract_Register!$T$30,MOD(Assumptions!I$201-Contract_Register!$T$30,Assumptions!$C$90)=0),Contract_Register!$S$30,1)))</f>
        <v>0</v>
      </c>
      <c r="J32" s="67" t="n">
        <f aca="false">IF(J$5="A",Inputs_Actuals!J32,IF(Assumptions!J$201&lt;Contract_Register!$T$30,0,I32*(1+Contract_Register!$M$30*Assumptions!$F$178)*IF(AND(Assumptions!J$201&gt;Contract_Register!$T$30,MOD(Assumptions!J$201-Contract_Register!$T$30,Assumptions!$C$90)=0),Contract_Register!$S$30,1)))</f>
        <v>0</v>
      </c>
      <c r="K32" s="67" t="n">
        <f aca="false">IF(K$5="A",Inputs_Actuals!K32,IF(Assumptions!K$201&lt;Contract_Register!$T$30,0,J32*(1+Contract_Register!$M$30*Assumptions!$F$178)*IF(AND(Assumptions!K$201&gt;Contract_Register!$T$30,MOD(Assumptions!K$201-Contract_Register!$T$30,Assumptions!$C$90)=0),Contract_Register!$S$30,1)))</f>
        <v>0</v>
      </c>
      <c r="L32" s="67" t="n">
        <f aca="false">IF(L$5="A",Inputs_Actuals!L32,IF(Assumptions!L$201&lt;Contract_Register!$T$30,0,K32*(1+Contract_Register!$M$30*Assumptions!$F$178)*IF(AND(Assumptions!L$201&gt;Contract_Register!$T$30,MOD(Assumptions!L$201-Contract_Register!$T$30,Assumptions!$C$90)=0),Contract_Register!$S$30,1)))</f>
        <v>0</v>
      </c>
      <c r="M32" s="67" t="n">
        <f aca="false">IF(M$5="A",Inputs_Actuals!M32,IF(Assumptions!M$201&lt;Contract_Register!$T$30,0,L32*(1+Contract_Register!$M$30*Assumptions!$F$178)*IF(AND(Assumptions!M$201&gt;Contract_Register!$T$30,MOD(Assumptions!M$201-Contract_Register!$T$30,Assumptions!$C$90)=0),Contract_Register!$S$30,1)))</f>
        <v>0</v>
      </c>
      <c r="N32" s="67" t="n">
        <f aca="false">IF(N$5="A",Inputs_Actuals!N32,IF(Assumptions!N$201&lt;Contract_Register!$T$30,0,M32*(1+Contract_Register!$M$30*Assumptions!$F$178)*IF(AND(Assumptions!N$201&gt;Contract_Register!$T$30,MOD(Assumptions!N$201-Contract_Register!$T$30,Assumptions!$C$90)=0),Contract_Register!$S$30,1)))</f>
        <v>0</v>
      </c>
      <c r="O32" s="67" t="n">
        <f aca="false">IF(O$5="A",Inputs_Actuals!O32,IF(Assumptions!O$201&lt;Contract_Register!$T$30,0,N32*(1+Contract_Register!$M$30*Assumptions!$F$178)*IF(AND(Assumptions!O$201&gt;Contract_Register!$T$30,MOD(Assumptions!O$201-Contract_Register!$T$30,Assumptions!$C$90)=0),Contract_Register!$S$30,1)))</f>
        <v>0</v>
      </c>
      <c r="P32" s="67" t="n">
        <f aca="false">IF(P$5="A",Inputs_Actuals!P32,IF(Assumptions!P$201&lt;Contract_Register!$T$30,0,O32*(1+Contract_Register!$M$30*Assumptions!$F$178)*IF(AND(Assumptions!P$201&gt;Contract_Register!$T$30,MOD(Assumptions!P$201-Contract_Register!$T$30,Assumptions!$C$90)=0),Contract_Register!$S$30,1)))</f>
        <v>0</v>
      </c>
      <c r="Q32" s="67" t="n">
        <f aca="false">IF(Q$5="A",Inputs_Actuals!Q32,IF(Assumptions!Q$201&lt;Contract_Register!$T$30,0,P32*(1+Contract_Register!$M$30*Assumptions!$F$178)*IF(AND(Assumptions!Q$201&gt;Contract_Register!$T$30,MOD(Assumptions!Q$201-Contract_Register!$T$30,Assumptions!$C$90)=0),Contract_Register!$S$30,1)))</f>
        <v>0</v>
      </c>
      <c r="R32" s="67" t="n">
        <f aca="false">IF(R$5="A",Inputs_Actuals!R32,IF(Assumptions!R$201&lt;Contract_Register!$T$30,0,Q32*(1+Contract_Register!$M$30*Assumptions!$F$178)*IF(AND(Assumptions!R$201&gt;Contract_Register!$T$30,MOD(Assumptions!R$201-Contract_Register!$T$30,Assumptions!$C$90)=0),Contract_Register!$S$30,1)))</f>
        <v>0</v>
      </c>
      <c r="S32" s="67" t="n">
        <f aca="false">IF(S$5="A",Inputs_Actuals!S32,IF(Assumptions!S$201&lt;Contract_Register!$T$30,0,R32*(1+Contract_Register!$M$30*Assumptions!$F$178)*IF(AND(Assumptions!S$201&gt;Contract_Register!$T$30,MOD(Assumptions!S$201-Contract_Register!$T$30,Assumptions!$C$90)=0),Contract_Register!$S$30,1)))</f>
        <v>0</v>
      </c>
      <c r="T32" s="67" t="n">
        <f aca="false">IF(T$5="A",Inputs_Actuals!T32,IF(Assumptions!T$201&lt;Contract_Register!$T$30,0,S32*(1+Contract_Register!$M$30*Assumptions!$F$178)*IF(AND(Assumptions!T$201&gt;Contract_Register!$T$30,MOD(Assumptions!T$201-Contract_Register!$T$30,Assumptions!$C$90)=0),Contract_Register!$S$30,1)))</f>
        <v>0</v>
      </c>
      <c r="U32" s="67" t="n">
        <f aca="false">IF(U$5="A",Inputs_Actuals!U32,IF(Assumptions!U$201&lt;Contract_Register!$T$30,0,T32*(1+Contract_Register!$M$30*Assumptions!$F$178)*IF(AND(Assumptions!U$201&gt;Contract_Register!$T$30,MOD(Assumptions!U$201-Contract_Register!$T$30,Assumptions!$C$90)=0),Contract_Register!$S$30,1)))</f>
        <v>0</v>
      </c>
      <c r="V32" s="67" t="n">
        <f aca="false">IF(V$5="A",Inputs_Actuals!V32,IF(Assumptions!V$201&lt;Contract_Register!$T$30,0,U32*(1+Contract_Register!$M$30*Assumptions!$F$178)*IF(AND(Assumptions!V$201&gt;Contract_Register!$T$30,MOD(Assumptions!V$201-Contract_Register!$T$30,Assumptions!$C$90)=0),Contract_Register!$S$30,1)))</f>
        <v>0</v>
      </c>
      <c r="W32" s="67" t="n">
        <f aca="false">IF(W$5="A",Inputs_Actuals!W32,IF(Assumptions!W$201&lt;Contract_Register!$T$30,0,V32*(1+Contract_Register!$M$30*Assumptions!$F$178)*IF(AND(Assumptions!W$201&gt;Contract_Register!$T$30,MOD(Assumptions!W$201-Contract_Register!$T$30,Assumptions!$C$90)=0),Contract_Register!$S$30,1)))</f>
        <v>0</v>
      </c>
      <c r="X32" s="67" t="n">
        <f aca="false">IF(X$5="A",Inputs_Actuals!X32,IF(Assumptions!X$201&lt;Contract_Register!$T$30,0,W32*(1+Contract_Register!$M$30*Assumptions!$F$178)*IF(AND(Assumptions!X$201&gt;Contract_Register!$T$30,MOD(Assumptions!X$201-Contract_Register!$T$30,Assumptions!$C$90)=0),Contract_Register!$S$30,1)))</f>
        <v>0</v>
      </c>
      <c r="Y32" s="67" t="n">
        <f aca="false">IF(Y$5="A",Inputs_Actuals!Y32,IF(Assumptions!Y$201&lt;Contract_Register!$T$30,0,X32*(1+Contract_Register!$M$30*Assumptions!$F$178)*IF(AND(Assumptions!Y$201&gt;Contract_Register!$T$30,MOD(Assumptions!Y$201-Contract_Register!$T$30,Assumptions!$C$90)=0),Contract_Register!$S$30,1)))</f>
        <v>0</v>
      </c>
      <c r="Z32" s="67" t="n">
        <f aca="false">IF(Z$5="A",Inputs_Actuals!Z32,IF(Assumptions!Z$201&lt;Contract_Register!$T$30,0,Y32*(1+Contract_Register!$M$30*Assumptions!$F$178)*IF(AND(Assumptions!Z$201&gt;Contract_Register!$T$30,MOD(Assumptions!Z$201-Contract_Register!$T$30,Assumptions!$C$90)=0),Contract_Register!$S$30,1)))</f>
        <v>0</v>
      </c>
      <c r="AA32" s="67" t="n">
        <f aca="false">IF(AA$5="A",Inputs_Actuals!AA32,IF(Assumptions!AA$201&lt;Contract_Register!$T$30,0,Z32*(1+Contract_Register!$M$30*Assumptions!$F$178)*IF(AND(Assumptions!AA$201&gt;Contract_Register!$T$30,MOD(Assumptions!AA$201-Contract_Register!$T$30,Assumptions!$C$90)=0),Contract_Register!$S$30,1)))</f>
        <v>0</v>
      </c>
      <c r="AB32" s="67" t="n">
        <f aca="false">IF(AB$5="A",Inputs_Actuals!AB32,IF(Assumptions!AB$201&lt;Contract_Register!$T$30,0,AA32*(1+Contract_Register!$M$30*Assumptions!$F$178)*IF(AND(Assumptions!AB$201&gt;Contract_Register!$T$30,MOD(Assumptions!AB$201-Contract_Register!$T$30,Assumptions!$C$90)=0),Contract_Register!$S$30,1)))</f>
        <v>0</v>
      </c>
    </row>
    <row r="33" customFormat="false" ht="15" hidden="false" customHeight="false" outlineLevel="0" collapsed="false">
      <c r="A33" s="27" t="s">
        <v>798</v>
      </c>
      <c r="B33" s="63" t="s">
        <v>774</v>
      </c>
      <c r="C33" s="66" t="n">
        <f aca="false">P33</f>
        <v>144.147436578288</v>
      </c>
      <c r="D33" s="66" t="n">
        <f aca="false">AB33</f>
        <v>137.310114886526</v>
      </c>
      <c r="E33" s="67" t="n">
        <f aca="false">IF(E$5="A",Inputs_Actuals!E33,IF(Assumptions!E$201&lt;Contract_Register!$T$31,0,Contract_Register!$I$31*(1+Contract_Register!$M$31*Assumptions!$F$178)*IF(AND(Assumptions!E$201&gt;Contract_Register!$T$31,MOD(Assumptions!E$201-Contract_Register!$T$31,Assumptions!$C$90)=0),Contract_Register!$S$31,1)))</f>
        <v>140</v>
      </c>
      <c r="F33" s="67" t="n">
        <f aca="false">IF(F$5="A",Inputs_Actuals!F33,IF(Assumptions!F$201&lt;Contract_Register!$T$31,0,E33*(1+Contract_Register!$M$31*Assumptions!$F$178)*IF(AND(Assumptions!F$201&gt;Contract_Register!$T$31,MOD(Assumptions!F$201-Contract_Register!$T$31,Assumptions!$C$90)=0),Contract_Register!$S$31,1)))</f>
        <v>141</v>
      </c>
      <c r="G33" s="67" t="n">
        <f aca="false">IF(G$5="A",Inputs_Actuals!G33,IF(Assumptions!G$201&lt;Contract_Register!$T$31,0,F33*(1+Contract_Register!$M$31*Assumptions!$F$178)*IF(AND(Assumptions!G$201&gt;Contract_Register!$T$31,MOD(Assumptions!G$201-Contract_Register!$T$31,Assumptions!$C$90)=0),Contract_Register!$S$31,1)))</f>
        <v>142</v>
      </c>
      <c r="H33" s="67" t="n">
        <f aca="false">IF(H$5="A",Inputs_Actuals!H33,IF(Assumptions!H$201&lt;Contract_Register!$T$31,0,G33*(1+Contract_Register!$M$31*Assumptions!$F$178)*IF(AND(Assumptions!H$201&gt;Contract_Register!$T$31,MOD(Assumptions!H$201-Contract_Register!$T$31,Assumptions!$C$90)=0),Contract_Register!$S$31,1)))</f>
        <v>142</v>
      </c>
      <c r="I33" s="67" t="n">
        <f aca="false">IF(I$5="A",Inputs_Actuals!I33,IF(Assumptions!I$201&lt;Contract_Register!$T$31,0,H33*(1+Contract_Register!$M$31*Assumptions!$F$178)*IF(AND(Assumptions!I$201&gt;Contract_Register!$T$31,MOD(Assumptions!I$201-Contract_Register!$T$31,Assumptions!$C$90)=0),Contract_Register!$S$31,1)))</f>
        <v>141</v>
      </c>
      <c r="J33" s="67" t="n">
        <f aca="false">IF(J$5="A",Inputs_Actuals!J33,IF(Assumptions!J$201&lt;Contract_Register!$T$31,0,I33*(1+Contract_Register!$M$31*Assumptions!$F$178)*IF(AND(Assumptions!J$201&gt;Contract_Register!$T$31,MOD(Assumptions!J$201-Contract_Register!$T$31,Assumptions!$C$90)=0),Contract_Register!$S$31,1)))</f>
        <v>141</v>
      </c>
      <c r="K33" s="67" t="n">
        <f aca="false">IF(K$5="A",Inputs_Actuals!K33,IF(Assumptions!K$201&lt;Contract_Register!$T$31,0,J33*(1+Contract_Register!$M$31*Assumptions!$F$178)*IF(AND(Assumptions!K$201&gt;Contract_Register!$T$31,MOD(Assumptions!K$201-Contract_Register!$T$31,Assumptions!$C$90)=0),Contract_Register!$S$31,1)))</f>
        <v>142</v>
      </c>
      <c r="L33" s="67" t="n">
        <f aca="false">IF(L$5="A",Inputs_Actuals!L33,IF(Assumptions!L$201&lt;Contract_Register!$T$31,0,K33*(1+Contract_Register!$M$31*Assumptions!$F$178)*IF(AND(Assumptions!L$201&gt;Contract_Register!$T$31,MOD(Assumptions!L$201-Contract_Register!$T$31,Assumptions!$C$90)=0),Contract_Register!$S$31,1)))</f>
        <v>143</v>
      </c>
      <c r="M33" s="67" t="n">
        <f aca="false">IF(M$5="A",Inputs_Actuals!M33,IF(Assumptions!M$201&lt;Contract_Register!$T$31,0,L33*(1+Contract_Register!$M$31*Assumptions!$F$178)*IF(AND(Assumptions!M$201&gt;Contract_Register!$T$31,MOD(Assumptions!M$201-Contract_Register!$T$31,Assumptions!$C$90)=0),Contract_Register!$S$31,1)))</f>
        <v>143.286</v>
      </c>
      <c r="N33" s="67" t="n">
        <f aca="false">IF(N$5="A",Inputs_Actuals!N33,IF(Assumptions!N$201&lt;Contract_Register!$T$31,0,M33*(1+Contract_Register!$M$31*Assumptions!$F$178)*IF(AND(Assumptions!N$201&gt;Contract_Register!$T$31,MOD(Assumptions!N$201-Contract_Register!$T$31,Assumptions!$C$90)=0),Contract_Register!$S$31,1)))</f>
        <v>143.572572</v>
      </c>
      <c r="O33" s="67" t="n">
        <f aca="false">IF(O$5="A",Inputs_Actuals!O33,IF(Assumptions!O$201&lt;Contract_Register!$T$31,0,N33*(1+Contract_Register!$M$31*Assumptions!$F$178)*IF(AND(Assumptions!O$201&gt;Contract_Register!$T$31,MOD(Assumptions!O$201-Contract_Register!$T$31,Assumptions!$C$90)=0),Contract_Register!$S$31,1)))</f>
        <v>143.859717144</v>
      </c>
      <c r="P33" s="67" t="n">
        <f aca="false">IF(P$5="A",Inputs_Actuals!P33,IF(Assumptions!P$201&lt;Contract_Register!$T$31,0,O33*(1+Contract_Register!$M$31*Assumptions!$F$178)*IF(AND(Assumptions!P$201&gt;Contract_Register!$T$31,MOD(Assumptions!P$201-Contract_Register!$T$31,Assumptions!$C$90)=0),Contract_Register!$S$31,1)))</f>
        <v>144.147436578288</v>
      </c>
      <c r="Q33" s="67" t="n">
        <f aca="false">IF(Q$5="A",Inputs_Actuals!Q33,IF(Assumptions!Q$201&lt;Contract_Register!$T$31,0,P33*(1+Contract_Register!$M$31*Assumptions!$F$178)*IF(AND(Assumptions!Q$201&gt;Contract_Register!$T$31,MOD(Assumptions!Q$201-Contract_Register!$T$31,Assumptions!$C$90)=0),Contract_Register!$S$31,1)))</f>
        <v>144.435731451445</v>
      </c>
      <c r="R33" s="67" t="n">
        <f aca="false">IF(R$5="A",Inputs_Actuals!R33,IF(Assumptions!R$201&lt;Contract_Register!$T$31,0,Q33*(1+Contract_Register!$M$31*Assumptions!$F$178)*IF(AND(Assumptions!R$201&gt;Contract_Register!$T$31,MOD(Assumptions!R$201-Contract_Register!$T$31,Assumptions!$C$90)=0),Contract_Register!$S$31,1)))</f>
        <v>144.724602914347</v>
      </c>
      <c r="S33" s="67" t="n">
        <f aca="false">IF(S$5="A",Inputs_Actuals!S33,IF(Assumptions!S$201&lt;Contract_Register!$T$31,0,R33*(1+Contract_Register!$M$31*Assumptions!$F$178)*IF(AND(Assumptions!S$201&gt;Contract_Register!$T$31,MOD(Assumptions!S$201-Contract_Register!$T$31,Assumptions!$C$90)=0),Contract_Register!$S$31,1)))</f>
        <v>145.014052120176</v>
      </c>
      <c r="T33" s="67" t="n">
        <f aca="false">IF(T$5="A",Inputs_Actuals!T33,IF(Assumptions!T$201&lt;Contract_Register!$T$31,0,S33*(1+Contract_Register!$M$31*Assumptions!$F$178)*IF(AND(Assumptions!T$201&gt;Contract_Register!$T$31,MOD(Assumptions!T$201-Contract_Register!$T$31,Assumptions!$C$90)=0),Contract_Register!$S$31,1)))</f>
        <v>135.132794608707</v>
      </c>
      <c r="U33" s="67" t="n">
        <f aca="false">IF(U$5="A",Inputs_Actuals!U33,IF(Assumptions!U$201&lt;Contract_Register!$T$31,0,T33*(1+Contract_Register!$M$31*Assumptions!$F$178)*IF(AND(Assumptions!U$201&gt;Contract_Register!$T$31,MOD(Assumptions!U$201-Contract_Register!$T$31,Assumptions!$C$90)=0),Contract_Register!$S$31,1)))</f>
        <v>135.403060197925</v>
      </c>
      <c r="V33" s="67" t="n">
        <f aca="false">IF(V$5="A",Inputs_Actuals!V33,IF(Assumptions!V$201&lt;Contract_Register!$T$31,0,U33*(1+Contract_Register!$M$31*Assumptions!$F$178)*IF(AND(Assumptions!V$201&gt;Contract_Register!$T$31,MOD(Assumptions!V$201-Contract_Register!$T$31,Assumptions!$C$90)=0),Contract_Register!$S$31,1)))</f>
        <v>135.673866318321</v>
      </c>
      <c r="W33" s="67" t="n">
        <f aca="false">IF(W$5="A",Inputs_Actuals!W33,IF(Assumptions!W$201&lt;Contract_Register!$T$31,0,V33*(1+Contract_Register!$M$31*Assumptions!$F$178)*IF(AND(Assumptions!W$201&gt;Contract_Register!$T$31,MOD(Assumptions!W$201-Contract_Register!$T$31,Assumptions!$C$90)=0),Contract_Register!$S$31,1)))</f>
        <v>135.945214050957</v>
      </c>
      <c r="X33" s="67" t="n">
        <f aca="false">IF(X$5="A",Inputs_Actuals!X33,IF(Assumptions!X$201&lt;Contract_Register!$T$31,0,W33*(1+Contract_Register!$M$31*Assumptions!$F$178)*IF(AND(Assumptions!X$201&gt;Contract_Register!$T$31,MOD(Assumptions!X$201-Contract_Register!$T$31,Assumptions!$C$90)=0),Contract_Register!$S$31,1)))</f>
        <v>136.217104479059</v>
      </c>
      <c r="Y33" s="67" t="n">
        <f aca="false">IF(Y$5="A",Inputs_Actuals!Y33,IF(Assumptions!Y$201&lt;Contract_Register!$T$31,0,X33*(1+Contract_Register!$M$31*Assumptions!$F$178)*IF(AND(Assumptions!Y$201&gt;Contract_Register!$T$31,MOD(Assumptions!Y$201-Contract_Register!$T$31,Assumptions!$C$90)=0),Contract_Register!$S$31,1)))</f>
        <v>136.489538688017</v>
      </c>
      <c r="Z33" s="67" t="n">
        <f aca="false">IF(Z$5="A",Inputs_Actuals!Z33,IF(Assumptions!Z$201&lt;Contract_Register!$T$31,0,Y33*(1+Contract_Register!$M$31*Assumptions!$F$178)*IF(AND(Assumptions!Z$201&gt;Contract_Register!$T$31,MOD(Assumptions!Z$201-Contract_Register!$T$31,Assumptions!$C$90)=0),Contract_Register!$S$31,1)))</f>
        <v>136.762517765393</v>
      </c>
      <c r="AA33" s="67" t="n">
        <f aca="false">IF(AA$5="A",Inputs_Actuals!AA33,IF(Assumptions!AA$201&lt;Contract_Register!$T$31,0,Z33*(1+Contract_Register!$M$31*Assumptions!$F$178)*IF(AND(Assumptions!AA$201&gt;Contract_Register!$T$31,MOD(Assumptions!AA$201-Contract_Register!$T$31,Assumptions!$C$90)=0),Contract_Register!$S$31,1)))</f>
        <v>137.036042800924</v>
      </c>
      <c r="AB33" s="67" t="n">
        <f aca="false">IF(AB$5="A",Inputs_Actuals!AB33,IF(Assumptions!AB$201&lt;Contract_Register!$T$31,0,AA33*(1+Contract_Register!$M$31*Assumptions!$F$178)*IF(AND(Assumptions!AB$201&gt;Contract_Register!$T$31,MOD(Assumptions!AB$201-Contract_Register!$T$31,Assumptions!$C$90)=0),Contract_Register!$S$31,1)))</f>
        <v>137.310114886526</v>
      </c>
    </row>
    <row r="34" customFormat="false" ht="15" hidden="false" customHeight="false" outlineLevel="0" collapsed="false">
      <c r="A34" s="27" t="s">
        <v>799</v>
      </c>
      <c r="B34" s="63" t="s">
        <v>774</v>
      </c>
      <c r="C34" s="66" t="n">
        <f aca="false">P34</f>
        <v>92.738210945472</v>
      </c>
      <c r="D34" s="66" t="n">
        <f aca="false">AB34</f>
        <v>94.9885748519467</v>
      </c>
      <c r="E34" s="67" t="n">
        <f aca="false">IF(E$5="A",Inputs_Actuals!E34,IF(Assumptions!E$201&lt;Contract_Register!$T$32,0,Contract_Register!$I$32*(1+Contract_Register!$M$32*Assumptions!$F$178)*IF(AND(Assumptions!E$201&gt;Contract_Register!$T$32,MOD(Assumptions!E$201-Contract_Register!$T$32,Assumptions!$C$90)=0),Contract_Register!$S$32,1)))</f>
        <v>90</v>
      </c>
      <c r="F34" s="67" t="n">
        <f aca="false">IF(F$5="A",Inputs_Actuals!F34,IF(Assumptions!F$201&lt;Contract_Register!$T$32,0,E34*(1+Contract_Register!$M$32*Assumptions!$F$178)*IF(AND(Assumptions!F$201&gt;Contract_Register!$T$32,MOD(Assumptions!F$201-Contract_Register!$T$32,Assumptions!$C$90)=0),Contract_Register!$S$32,1)))</f>
        <v>90</v>
      </c>
      <c r="G34" s="67" t="n">
        <f aca="false">IF(G$5="A",Inputs_Actuals!G34,IF(Assumptions!G$201&lt;Contract_Register!$T$32,0,F34*(1+Contract_Register!$M$32*Assumptions!$F$178)*IF(AND(Assumptions!G$201&gt;Contract_Register!$T$32,MOD(Assumptions!G$201-Contract_Register!$T$32,Assumptions!$C$90)=0),Contract_Register!$S$32,1)))</f>
        <v>90</v>
      </c>
      <c r="H34" s="67" t="n">
        <f aca="false">IF(H$5="A",Inputs_Actuals!H34,IF(Assumptions!H$201&lt;Contract_Register!$T$32,0,G34*(1+Contract_Register!$M$32*Assumptions!$F$178)*IF(AND(Assumptions!H$201&gt;Contract_Register!$T$32,MOD(Assumptions!H$201-Contract_Register!$T$32,Assumptions!$C$90)=0),Contract_Register!$S$32,1)))</f>
        <v>91</v>
      </c>
      <c r="I34" s="67" t="n">
        <f aca="false">IF(I$5="A",Inputs_Actuals!I34,IF(Assumptions!I$201&lt;Contract_Register!$T$32,0,H34*(1+Contract_Register!$M$32*Assumptions!$F$178)*IF(AND(Assumptions!I$201&gt;Contract_Register!$T$32,MOD(Assumptions!I$201-Contract_Register!$T$32,Assumptions!$C$90)=0),Contract_Register!$S$32,1)))</f>
        <v>91</v>
      </c>
      <c r="J34" s="67" t="n">
        <f aca="false">IF(J$5="A",Inputs_Actuals!J34,IF(Assumptions!J$201&lt;Contract_Register!$T$32,0,I34*(1+Contract_Register!$M$32*Assumptions!$F$178)*IF(AND(Assumptions!J$201&gt;Contract_Register!$T$32,MOD(Assumptions!J$201-Contract_Register!$T$32,Assumptions!$C$90)=0),Contract_Register!$S$32,1)))</f>
        <v>91</v>
      </c>
      <c r="K34" s="67" t="n">
        <f aca="false">IF(K$5="A",Inputs_Actuals!K34,IF(Assumptions!K$201&lt;Contract_Register!$T$32,0,J34*(1+Contract_Register!$M$32*Assumptions!$F$178)*IF(AND(Assumptions!K$201&gt;Contract_Register!$T$32,MOD(Assumptions!K$201-Contract_Register!$T$32,Assumptions!$C$90)=0),Contract_Register!$S$32,1)))</f>
        <v>91</v>
      </c>
      <c r="L34" s="67" t="n">
        <f aca="false">IF(L$5="A",Inputs_Actuals!L34,IF(Assumptions!L$201&lt;Contract_Register!$T$32,0,K34*(1+Contract_Register!$M$32*Assumptions!$F$178)*IF(AND(Assumptions!L$201&gt;Contract_Register!$T$32,MOD(Assumptions!L$201-Contract_Register!$T$32,Assumptions!$C$90)=0),Contract_Register!$S$32,1)))</f>
        <v>92</v>
      </c>
      <c r="M34" s="67" t="n">
        <f aca="false">IF(M$5="A",Inputs_Actuals!M34,IF(Assumptions!M$201&lt;Contract_Register!$T$32,0,L34*(1+Contract_Register!$M$32*Assumptions!$F$178)*IF(AND(Assumptions!M$201&gt;Contract_Register!$T$32,MOD(Assumptions!M$201-Contract_Register!$T$32,Assumptions!$C$90)=0),Contract_Register!$S$32,1)))</f>
        <v>92.184</v>
      </c>
      <c r="N34" s="67" t="n">
        <f aca="false">IF(N$5="A",Inputs_Actuals!N34,IF(Assumptions!N$201&lt;Contract_Register!$T$32,0,M34*(1+Contract_Register!$M$32*Assumptions!$F$178)*IF(AND(Assumptions!N$201&gt;Contract_Register!$T$32,MOD(Assumptions!N$201-Contract_Register!$T$32,Assumptions!$C$90)=0),Contract_Register!$S$32,1)))</f>
        <v>92.368368</v>
      </c>
      <c r="O34" s="67" t="n">
        <f aca="false">IF(O$5="A",Inputs_Actuals!O34,IF(Assumptions!O$201&lt;Contract_Register!$T$32,0,N34*(1+Contract_Register!$M$32*Assumptions!$F$178)*IF(AND(Assumptions!O$201&gt;Contract_Register!$T$32,MOD(Assumptions!O$201-Contract_Register!$T$32,Assumptions!$C$90)=0),Contract_Register!$S$32,1)))</f>
        <v>92.553104736</v>
      </c>
      <c r="P34" s="67" t="n">
        <f aca="false">IF(P$5="A",Inputs_Actuals!P34,IF(Assumptions!P$201&lt;Contract_Register!$T$32,0,O34*(1+Contract_Register!$M$32*Assumptions!$F$178)*IF(AND(Assumptions!P$201&gt;Contract_Register!$T$32,MOD(Assumptions!P$201-Contract_Register!$T$32,Assumptions!$C$90)=0),Contract_Register!$S$32,1)))</f>
        <v>92.738210945472</v>
      </c>
      <c r="Q34" s="67" t="n">
        <f aca="false">IF(Q$5="A",Inputs_Actuals!Q34,IF(Assumptions!Q$201&lt;Contract_Register!$T$32,0,P34*(1+Contract_Register!$M$32*Assumptions!$F$178)*IF(AND(Assumptions!Q$201&gt;Contract_Register!$T$32,MOD(Assumptions!Q$201-Contract_Register!$T$32,Assumptions!$C$90)=0),Contract_Register!$S$32,1)))</f>
        <v>92.9236873673629</v>
      </c>
      <c r="R34" s="67" t="n">
        <f aca="false">IF(R$5="A",Inputs_Actuals!R34,IF(Assumptions!R$201&lt;Contract_Register!$T$32,0,Q34*(1+Contract_Register!$M$32*Assumptions!$F$178)*IF(AND(Assumptions!R$201&gt;Contract_Register!$T$32,MOD(Assumptions!R$201-Contract_Register!$T$32,Assumptions!$C$90)=0),Contract_Register!$S$32,1)))</f>
        <v>93.1095347420977</v>
      </c>
      <c r="S34" s="67" t="n">
        <f aca="false">IF(S$5="A",Inputs_Actuals!S34,IF(Assumptions!S$201&lt;Contract_Register!$T$32,0,R34*(1+Contract_Register!$M$32*Assumptions!$F$178)*IF(AND(Assumptions!S$201&gt;Contract_Register!$T$32,MOD(Assumptions!S$201-Contract_Register!$T$32,Assumptions!$C$90)=0),Contract_Register!$S$32,1)))</f>
        <v>93.2957538115819</v>
      </c>
      <c r="T34" s="67" t="n">
        <f aca="false">IF(T$5="A",Inputs_Actuals!T34,IF(Assumptions!T$201&lt;Contract_Register!$T$32,0,S34*(1+Contract_Register!$M$32*Assumptions!$F$178)*IF(AND(Assumptions!T$201&gt;Contract_Register!$T$32,MOD(Assumptions!T$201-Contract_Register!$T$32,Assumptions!$C$90)=0),Contract_Register!$S$32,1)))</f>
        <v>93.482345319205</v>
      </c>
      <c r="U34" s="67" t="n">
        <f aca="false">IF(U$5="A",Inputs_Actuals!U34,IF(Assumptions!U$201&lt;Contract_Register!$T$32,0,T34*(1+Contract_Register!$M$32*Assumptions!$F$178)*IF(AND(Assumptions!U$201&gt;Contract_Register!$T$32,MOD(Assumptions!U$201-Contract_Register!$T$32,Assumptions!$C$90)=0),Contract_Register!$S$32,1)))</f>
        <v>93.6693100098434</v>
      </c>
      <c r="V34" s="67" t="n">
        <f aca="false">IF(V$5="A",Inputs_Actuals!V34,IF(Assumptions!V$201&lt;Contract_Register!$T$32,0,U34*(1+Contract_Register!$M$32*Assumptions!$F$178)*IF(AND(Assumptions!V$201&gt;Contract_Register!$T$32,MOD(Assumptions!V$201-Contract_Register!$T$32,Assumptions!$C$90)=0),Contract_Register!$S$32,1)))</f>
        <v>93.8566486298631</v>
      </c>
      <c r="W34" s="67" t="n">
        <f aca="false">IF(W$5="A",Inputs_Actuals!W34,IF(Assumptions!W$201&lt;Contract_Register!$T$32,0,V34*(1+Contract_Register!$M$32*Assumptions!$F$178)*IF(AND(Assumptions!W$201&gt;Contract_Register!$T$32,MOD(Assumptions!W$201-Contract_Register!$T$32,Assumptions!$C$90)=0),Contract_Register!$S$32,1)))</f>
        <v>94.0443619271228</v>
      </c>
      <c r="X34" s="67" t="n">
        <f aca="false">IF(X$5="A",Inputs_Actuals!X34,IF(Assumptions!X$201&lt;Contract_Register!$T$32,0,W34*(1+Contract_Register!$M$32*Assumptions!$F$178)*IF(AND(Assumptions!X$201&gt;Contract_Register!$T$32,MOD(Assumptions!X$201-Contract_Register!$T$32,Assumptions!$C$90)=0),Contract_Register!$S$32,1)))</f>
        <v>94.2324506509771</v>
      </c>
      <c r="Y34" s="67" t="n">
        <f aca="false">IF(Y$5="A",Inputs_Actuals!Y34,IF(Assumptions!Y$201&lt;Contract_Register!$T$32,0,X34*(1+Contract_Register!$M$32*Assumptions!$F$178)*IF(AND(Assumptions!Y$201&gt;Contract_Register!$T$32,MOD(Assumptions!Y$201-Contract_Register!$T$32,Assumptions!$C$90)=0),Contract_Register!$S$32,1)))</f>
        <v>94.420915552279</v>
      </c>
      <c r="Z34" s="67" t="n">
        <f aca="false">IF(Z$5="A",Inputs_Actuals!Z34,IF(Assumptions!Z$201&lt;Contract_Register!$T$32,0,Y34*(1+Contract_Register!$M$32*Assumptions!$F$178)*IF(AND(Assumptions!Z$201&gt;Contract_Register!$T$32,MOD(Assumptions!Z$201-Contract_Register!$T$32,Assumptions!$C$90)=0),Contract_Register!$S$32,1)))</f>
        <v>94.6097573833836</v>
      </c>
      <c r="AA34" s="67" t="n">
        <f aca="false">IF(AA$5="A",Inputs_Actuals!AA34,IF(Assumptions!AA$201&lt;Contract_Register!$T$32,0,Z34*(1+Contract_Register!$M$32*Assumptions!$F$178)*IF(AND(Assumptions!AA$201&gt;Contract_Register!$T$32,MOD(Assumptions!AA$201-Contract_Register!$T$32,Assumptions!$C$90)=0),Contract_Register!$S$32,1)))</f>
        <v>94.7989768981504</v>
      </c>
      <c r="AB34" s="67" t="n">
        <f aca="false">IF(AB$5="A",Inputs_Actuals!AB34,IF(Assumptions!AB$201&lt;Contract_Register!$T$32,0,AA34*(1+Contract_Register!$M$32*Assumptions!$F$178)*IF(AND(Assumptions!AB$201&gt;Contract_Register!$T$32,MOD(Assumptions!AB$201-Contract_Register!$T$32,Assumptions!$C$90)=0),Contract_Register!$S$32,1)))</f>
        <v>94.9885748519467</v>
      </c>
    </row>
    <row r="35" customFormat="false" ht="15" hidden="false" customHeight="false" outlineLevel="0" collapsed="false">
      <c r="A35" s="27" t="s">
        <v>800</v>
      </c>
      <c r="B35" s="63" t="s">
        <v>774</v>
      </c>
      <c r="C35" s="66" t="n">
        <f aca="false">P35</f>
        <v>73.879949889913</v>
      </c>
      <c r="D35" s="66" t="n">
        <f aca="false">AB35</f>
        <v>76.5839545995718</v>
      </c>
      <c r="E35" s="67" t="n">
        <f aca="false">IF(E$5="A",Inputs_Actuals!E35,IF(Assumptions!E$201&lt;Contract_Register!$T$33,0,Contract_Register!$I$33*(1+Contract_Register!$M$33*Assumptions!$F$178)*IF(AND(Assumptions!E$201&gt;Contract_Register!$T$33,MOD(Assumptions!E$201-Contract_Register!$T$33,Assumptions!$C$90)=0),Contract_Register!$S$33,1)))</f>
        <v>70</v>
      </c>
      <c r="F35" s="67" t="n">
        <f aca="false">IF(F$5="A",Inputs_Actuals!F35,IF(Assumptions!F$201&lt;Contract_Register!$T$33,0,E35*(1+Contract_Register!$M$33*Assumptions!$F$178)*IF(AND(Assumptions!F$201&gt;Contract_Register!$T$33,MOD(Assumptions!F$201-Contract_Register!$T$33,Assumptions!$C$90)=0),Contract_Register!$S$33,1)))</f>
        <v>70</v>
      </c>
      <c r="G35" s="67" t="n">
        <f aca="false">IF(G$5="A",Inputs_Actuals!G35,IF(Assumptions!G$201&lt;Contract_Register!$T$33,0,F35*(1+Contract_Register!$M$33*Assumptions!$F$178)*IF(AND(Assumptions!G$201&gt;Contract_Register!$T$33,MOD(Assumptions!G$201-Contract_Register!$T$33,Assumptions!$C$90)=0),Contract_Register!$S$33,1)))</f>
        <v>71</v>
      </c>
      <c r="H35" s="67" t="n">
        <f aca="false">IF(H$5="A",Inputs_Actuals!H35,IF(Assumptions!H$201&lt;Contract_Register!$T$33,0,G35*(1+Contract_Register!$M$33*Assumptions!$F$178)*IF(AND(Assumptions!H$201&gt;Contract_Register!$T$33,MOD(Assumptions!H$201-Contract_Register!$T$33,Assumptions!$C$90)=0),Contract_Register!$S$33,1)))</f>
        <v>71</v>
      </c>
      <c r="I35" s="67" t="n">
        <f aca="false">IF(I$5="A",Inputs_Actuals!I35,IF(Assumptions!I$201&lt;Contract_Register!$T$33,0,H35*(1+Contract_Register!$M$33*Assumptions!$F$178)*IF(AND(Assumptions!I$201&gt;Contract_Register!$T$33,MOD(Assumptions!I$201-Contract_Register!$T$33,Assumptions!$C$90)=0),Contract_Register!$S$33,1)))</f>
        <v>72</v>
      </c>
      <c r="J35" s="67" t="n">
        <f aca="false">IF(J$5="A",Inputs_Actuals!J35,IF(Assumptions!J$201&lt;Contract_Register!$T$33,0,I35*(1+Contract_Register!$M$33*Assumptions!$F$178)*IF(AND(Assumptions!J$201&gt;Contract_Register!$T$33,MOD(Assumptions!J$201-Contract_Register!$T$33,Assumptions!$C$90)=0),Contract_Register!$S$33,1)))</f>
        <v>72</v>
      </c>
      <c r="K35" s="67" t="n">
        <f aca="false">IF(K$5="A",Inputs_Actuals!K35,IF(Assumptions!K$201&lt;Contract_Register!$T$33,0,J35*(1+Contract_Register!$M$33*Assumptions!$F$178)*IF(AND(Assumptions!K$201&gt;Contract_Register!$T$33,MOD(Assumptions!K$201-Contract_Register!$T$33,Assumptions!$C$90)=0),Contract_Register!$S$33,1)))</f>
        <v>72</v>
      </c>
      <c r="L35" s="67" t="n">
        <f aca="false">IF(L$5="A",Inputs_Actuals!L35,IF(Assumptions!L$201&lt;Contract_Register!$T$33,0,K35*(1+Contract_Register!$M$33*Assumptions!$F$178)*IF(AND(Assumptions!L$201&gt;Contract_Register!$T$33,MOD(Assumptions!L$201-Contract_Register!$T$33,Assumptions!$C$90)=0),Contract_Register!$S$33,1)))</f>
        <v>73</v>
      </c>
      <c r="M35" s="67" t="n">
        <f aca="false">IF(M$5="A",Inputs_Actuals!M35,IF(Assumptions!M$201&lt;Contract_Register!$T$33,0,L35*(1+Contract_Register!$M$33*Assumptions!$F$178)*IF(AND(Assumptions!M$201&gt;Contract_Register!$T$33,MOD(Assumptions!M$201-Contract_Register!$T$33,Assumptions!$C$90)=0),Contract_Register!$S$33,1)))</f>
        <v>73.219</v>
      </c>
      <c r="N35" s="67" t="n">
        <f aca="false">IF(N$5="A",Inputs_Actuals!N35,IF(Assumptions!N$201&lt;Contract_Register!$T$33,0,M35*(1+Contract_Register!$M$33*Assumptions!$F$178)*IF(AND(Assumptions!N$201&gt;Contract_Register!$T$33,MOD(Assumptions!N$201-Contract_Register!$T$33,Assumptions!$C$90)=0),Contract_Register!$S$33,1)))</f>
        <v>73.438657</v>
      </c>
      <c r="O35" s="67" t="n">
        <f aca="false">IF(O$5="A",Inputs_Actuals!O35,IF(Assumptions!O$201&lt;Contract_Register!$T$33,0,N35*(1+Contract_Register!$M$33*Assumptions!$F$178)*IF(AND(Assumptions!O$201&gt;Contract_Register!$T$33,MOD(Assumptions!O$201-Contract_Register!$T$33,Assumptions!$C$90)=0),Contract_Register!$S$33,1)))</f>
        <v>73.658972971</v>
      </c>
      <c r="P35" s="67" t="n">
        <f aca="false">IF(P$5="A",Inputs_Actuals!P35,IF(Assumptions!P$201&lt;Contract_Register!$T$33,0,O35*(1+Contract_Register!$M$33*Assumptions!$F$178)*IF(AND(Assumptions!P$201&gt;Contract_Register!$T$33,MOD(Assumptions!P$201-Contract_Register!$T$33,Assumptions!$C$90)=0),Contract_Register!$S$33,1)))</f>
        <v>73.879949889913</v>
      </c>
      <c r="Q35" s="67" t="n">
        <f aca="false">IF(Q$5="A",Inputs_Actuals!Q35,IF(Assumptions!Q$201&lt;Contract_Register!$T$33,0,P35*(1+Contract_Register!$M$33*Assumptions!$F$178)*IF(AND(Assumptions!Q$201&gt;Contract_Register!$T$33,MOD(Assumptions!Q$201-Contract_Register!$T$33,Assumptions!$C$90)=0),Contract_Register!$S$33,1)))</f>
        <v>74.1015897395827</v>
      </c>
      <c r="R35" s="67" t="n">
        <f aca="false">IF(R$5="A",Inputs_Actuals!R35,IF(Assumptions!R$201&lt;Contract_Register!$T$33,0,Q35*(1+Contract_Register!$M$33*Assumptions!$F$178)*IF(AND(Assumptions!R$201&gt;Contract_Register!$T$33,MOD(Assumptions!R$201-Contract_Register!$T$33,Assumptions!$C$90)=0),Contract_Register!$S$33,1)))</f>
        <v>74.3238945088014</v>
      </c>
      <c r="S35" s="67" t="n">
        <f aca="false">IF(S$5="A",Inputs_Actuals!S35,IF(Assumptions!S$201&lt;Contract_Register!$T$33,0,R35*(1+Contract_Register!$M$33*Assumptions!$F$178)*IF(AND(Assumptions!S$201&gt;Contract_Register!$T$33,MOD(Assumptions!S$201-Contract_Register!$T$33,Assumptions!$C$90)=0),Contract_Register!$S$33,1)))</f>
        <v>74.5468661923278</v>
      </c>
      <c r="T35" s="67" t="n">
        <f aca="false">IF(T$5="A",Inputs_Actuals!T35,IF(Assumptions!T$201&lt;Contract_Register!$T$33,0,S35*(1+Contract_Register!$M$33*Assumptions!$F$178)*IF(AND(Assumptions!T$201&gt;Contract_Register!$T$33,MOD(Assumptions!T$201-Contract_Register!$T$33,Assumptions!$C$90)=0),Contract_Register!$S$33,1)))</f>
        <v>74.7705067909048</v>
      </c>
      <c r="U35" s="67" t="n">
        <f aca="false">IF(U$5="A",Inputs_Actuals!U35,IF(Assumptions!U$201&lt;Contract_Register!$T$33,0,T35*(1+Contract_Register!$M$33*Assumptions!$F$178)*IF(AND(Assumptions!U$201&gt;Contract_Register!$T$33,MOD(Assumptions!U$201-Contract_Register!$T$33,Assumptions!$C$90)=0),Contract_Register!$S$33,1)))</f>
        <v>74.9948183112775</v>
      </c>
      <c r="V35" s="67" t="n">
        <f aca="false">IF(V$5="A",Inputs_Actuals!V35,IF(Assumptions!V$201&lt;Contract_Register!$T$33,0,U35*(1+Contract_Register!$M$33*Assumptions!$F$178)*IF(AND(Assumptions!V$201&gt;Contract_Register!$T$33,MOD(Assumptions!V$201-Contract_Register!$T$33,Assumptions!$C$90)=0),Contract_Register!$S$33,1)))</f>
        <v>75.2198027662113</v>
      </c>
      <c r="W35" s="67" t="n">
        <f aca="false">IF(W$5="A",Inputs_Actuals!W35,IF(Assumptions!W$201&lt;Contract_Register!$T$33,0,V35*(1+Contract_Register!$M$33*Assumptions!$F$178)*IF(AND(Assumptions!W$201&gt;Contract_Register!$T$33,MOD(Assumptions!W$201-Contract_Register!$T$33,Assumptions!$C$90)=0),Contract_Register!$S$33,1)))</f>
        <v>75.44546217451</v>
      </c>
      <c r="X35" s="67" t="n">
        <f aca="false">IF(X$5="A",Inputs_Actuals!X35,IF(Assumptions!X$201&lt;Contract_Register!$T$33,0,W35*(1+Contract_Register!$M$33*Assumptions!$F$178)*IF(AND(Assumptions!X$201&gt;Contract_Register!$T$33,MOD(Assumptions!X$201-Contract_Register!$T$33,Assumptions!$C$90)=0),Contract_Register!$S$33,1)))</f>
        <v>75.6717985610335</v>
      </c>
      <c r="Y35" s="67" t="n">
        <f aca="false">IF(Y$5="A",Inputs_Actuals!Y35,IF(Assumptions!Y$201&lt;Contract_Register!$T$33,0,X35*(1+Contract_Register!$M$33*Assumptions!$F$178)*IF(AND(Assumptions!Y$201&gt;Contract_Register!$T$33,MOD(Assumptions!Y$201-Contract_Register!$T$33,Assumptions!$C$90)=0),Contract_Register!$S$33,1)))</f>
        <v>75.8988139567166</v>
      </c>
      <c r="Z35" s="67" t="n">
        <f aca="false">IF(Z$5="A",Inputs_Actuals!Z35,IF(Assumptions!Z$201&lt;Contract_Register!$T$33,0,Y35*(1+Contract_Register!$M$33*Assumptions!$F$178)*IF(AND(Assumptions!Z$201&gt;Contract_Register!$T$33,MOD(Assumptions!Z$201-Contract_Register!$T$33,Assumptions!$C$90)=0),Contract_Register!$S$33,1)))</f>
        <v>76.1265103985867</v>
      </c>
      <c r="AA35" s="67" t="n">
        <f aca="false">IF(AA$5="A",Inputs_Actuals!AA35,IF(Assumptions!AA$201&lt;Contract_Register!$T$33,0,Z35*(1+Contract_Register!$M$33*Assumptions!$F$178)*IF(AND(Assumptions!AA$201&gt;Contract_Register!$T$33,MOD(Assumptions!AA$201-Contract_Register!$T$33,Assumptions!$C$90)=0),Contract_Register!$S$33,1)))</f>
        <v>76.3548899297825</v>
      </c>
      <c r="AB35" s="67" t="n">
        <f aca="false">IF(AB$5="A",Inputs_Actuals!AB35,IF(Assumptions!AB$201&lt;Contract_Register!$T$33,0,AA35*(1+Contract_Register!$M$33*Assumptions!$F$178)*IF(AND(Assumptions!AB$201&gt;Contract_Register!$T$33,MOD(Assumptions!AB$201-Contract_Register!$T$33,Assumptions!$C$90)=0),Contract_Register!$S$33,1)))</f>
        <v>76.5839545995718</v>
      </c>
    </row>
    <row r="36" customFormat="false" ht="15" hidden="false" customHeight="false" outlineLevel="0" collapsed="false">
      <c r="A36" s="27" t="s">
        <v>801</v>
      </c>
      <c r="B36" s="63" t="s">
        <v>774</v>
      </c>
      <c r="C36" s="66" t="n">
        <f aca="false">P36</f>
        <v>80.32048032008</v>
      </c>
      <c r="D36" s="66" t="n">
        <f aca="false">AB36</f>
        <v>81.2896449459499</v>
      </c>
      <c r="E36" s="67" t="n">
        <f aca="false">IF(E$5="A",Inputs_Actuals!E36,IF(Assumptions!E$201&lt;Contract_Register!$T$34,0,Contract_Register!$I$34*(1+Contract_Register!$M$34*Assumptions!$F$178)*IF(AND(Assumptions!E$201&gt;Contract_Register!$T$34,MOD(Assumptions!E$201-Contract_Register!$T$34,Assumptions!$C$90)=0),Contract_Register!$S$34,1)))</f>
        <v>80</v>
      </c>
      <c r="F36" s="67" t="n">
        <f aca="false">IF(F$5="A",Inputs_Actuals!F36,IF(Assumptions!F$201&lt;Contract_Register!$T$34,0,E36*(1+Contract_Register!$M$34*Assumptions!$F$178)*IF(AND(Assumptions!F$201&gt;Contract_Register!$T$34,MOD(Assumptions!F$201-Contract_Register!$T$34,Assumptions!$C$90)=0),Contract_Register!$S$34,1)))</f>
        <v>80</v>
      </c>
      <c r="G36" s="67" t="n">
        <f aca="false">IF(G$5="A",Inputs_Actuals!G36,IF(Assumptions!G$201&lt;Contract_Register!$T$34,0,F36*(1+Contract_Register!$M$34*Assumptions!$F$178)*IF(AND(Assumptions!G$201&gt;Contract_Register!$T$34,MOD(Assumptions!G$201-Contract_Register!$T$34,Assumptions!$C$90)=0),Contract_Register!$S$34,1)))</f>
        <v>81</v>
      </c>
      <c r="H36" s="67" t="n">
        <f aca="false">IF(H$5="A",Inputs_Actuals!H36,IF(Assumptions!H$201&lt;Contract_Register!$T$34,0,G36*(1+Contract_Register!$M$34*Assumptions!$F$178)*IF(AND(Assumptions!H$201&gt;Contract_Register!$T$34,MOD(Assumptions!H$201-Contract_Register!$T$34,Assumptions!$C$90)=0),Contract_Register!$S$34,1)))</f>
        <v>81</v>
      </c>
      <c r="I36" s="67" t="n">
        <f aca="false">IF(I$5="A",Inputs_Actuals!I36,IF(Assumptions!I$201&lt;Contract_Register!$T$34,0,H36*(1+Contract_Register!$M$34*Assumptions!$F$178)*IF(AND(Assumptions!I$201&gt;Contract_Register!$T$34,MOD(Assumptions!I$201-Contract_Register!$T$34,Assumptions!$C$90)=0),Contract_Register!$S$34,1)))</f>
        <v>81</v>
      </c>
      <c r="J36" s="67" t="n">
        <f aca="false">IF(J$5="A",Inputs_Actuals!J36,IF(Assumptions!J$201&lt;Contract_Register!$T$34,0,I36*(1+Contract_Register!$M$34*Assumptions!$F$178)*IF(AND(Assumptions!J$201&gt;Contract_Register!$T$34,MOD(Assumptions!J$201-Contract_Register!$T$34,Assumptions!$C$90)=0),Contract_Register!$S$34,1)))</f>
        <v>81</v>
      </c>
      <c r="K36" s="67" t="n">
        <f aca="false">IF(K$5="A",Inputs_Actuals!K36,IF(Assumptions!K$201&lt;Contract_Register!$T$34,0,J36*(1+Contract_Register!$M$34*Assumptions!$F$178)*IF(AND(Assumptions!K$201&gt;Contract_Register!$T$34,MOD(Assumptions!K$201-Contract_Register!$T$34,Assumptions!$C$90)=0),Contract_Register!$S$34,1)))</f>
        <v>81</v>
      </c>
      <c r="L36" s="67" t="n">
        <f aca="false">IF(L$5="A",Inputs_Actuals!L36,IF(Assumptions!L$201&lt;Contract_Register!$T$34,0,K36*(1+Contract_Register!$M$34*Assumptions!$F$178)*IF(AND(Assumptions!L$201&gt;Contract_Register!$T$34,MOD(Assumptions!L$201-Contract_Register!$T$34,Assumptions!$C$90)=0),Contract_Register!$S$34,1)))</f>
        <v>80</v>
      </c>
      <c r="M36" s="67" t="n">
        <f aca="false">IF(M$5="A",Inputs_Actuals!M36,IF(Assumptions!M$201&lt;Contract_Register!$T$34,0,L36*(1+Contract_Register!$M$34*Assumptions!$F$178)*IF(AND(Assumptions!M$201&gt;Contract_Register!$T$34,MOD(Assumptions!M$201-Contract_Register!$T$34,Assumptions!$C$90)=0),Contract_Register!$S$34,1)))</f>
        <v>80.08</v>
      </c>
      <c r="N36" s="67" t="n">
        <f aca="false">IF(N$5="A",Inputs_Actuals!N36,IF(Assumptions!N$201&lt;Contract_Register!$T$34,0,M36*(1+Contract_Register!$M$34*Assumptions!$F$178)*IF(AND(Assumptions!N$201&gt;Contract_Register!$T$34,MOD(Assumptions!N$201-Contract_Register!$T$34,Assumptions!$C$90)=0),Contract_Register!$S$34,1)))</f>
        <v>80.16008</v>
      </c>
      <c r="O36" s="67" t="n">
        <f aca="false">IF(O$5="A",Inputs_Actuals!O36,IF(Assumptions!O$201&lt;Contract_Register!$T$34,0,N36*(1+Contract_Register!$M$34*Assumptions!$F$178)*IF(AND(Assumptions!O$201&gt;Contract_Register!$T$34,MOD(Assumptions!O$201-Contract_Register!$T$34,Assumptions!$C$90)=0),Contract_Register!$S$34,1)))</f>
        <v>80.24024008</v>
      </c>
      <c r="P36" s="67" t="n">
        <f aca="false">IF(P$5="A",Inputs_Actuals!P36,IF(Assumptions!P$201&lt;Contract_Register!$T$34,0,O36*(1+Contract_Register!$M$34*Assumptions!$F$178)*IF(AND(Assumptions!P$201&gt;Contract_Register!$T$34,MOD(Assumptions!P$201-Contract_Register!$T$34,Assumptions!$C$90)=0),Contract_Register!$S$34,1)))</f>
        <v>80.32048032008</v>
      </c>
      <c r="Q36" s="67" t="n">
        <f aca="false">IF(Q$5="A",Inputs_Actuals!Q36,IF(Assumptions!Q$201&lt;Contract_Register!$T$34,0,P36*(1+Contract_Register!$M$34*Assumptions!$F$178)*IF(AND(Assumptions!Q$201&gt;Contract_Register!$T$34,MOD(Assumptions!Q$201-Contract_Register!$T$34,Assumptions!$C$90)=0),Contract_Register!$S$34,1)))</f>
        <v>80.4008008004</v>
      </c>
      <c r="R36" s="67" t="n">
        <f aca="false">IF(R$5="A",Inputs_Actuals!R36,IF(Assumptions!R$201&lt;Contract_Register!$T$34,0,Q36*(1+Contract_Register!$M$34*Assumptions!$F$178)*IF(AND(Assumptions!R$201&gt;Contract_Register!$T$34,MOD(Assumptions!R$201-Contract_Register!$T$34,Assumptions!$C$90)=0),Contract_Register!$S$34,1)))</f>
        <v>80.4812016012004</v>
      </c>
      <c r="S36" s="67" t="n">
        <f aca="false">IF(S$5="A",Inputs_Actuals!S36,IF(Assumptions!S$201&lt;Contract_Register!$T$34,0,R36*(1+Contract_Register!$M$34*Assumptions!$F$178)*IF(AND(Assumptions!S$201&gt;Contract_Register!$T$34,MOD(Assumptions!S$201-Contract_Register!$T$34,Assumptions!$C$90)=0),Contract_Register!$S$34,1)))</f>
        <v>80.5616828028016</v>
      </c>
      <c r="T36" s="67" t="n">
        <f aca="false">IF(T$5="A",Inputs_Actuals!T36,IF(Assumptions!T$201&lt;Contract_Register!$T$34,0,S36*(1+Contract_Register!$M$34*Assumptions!$F$178)*IF(AND(Assumptions!T$201&gt;Contract_Register!$T$34,MOD(Assumptions!T$201-Contract_Register!$T$34,Assumptions!$C$90)=0),Contract_Register!$S$34,1)))</f>
        <v>80.6422444856044</v>
      </c>
      <c r="U36" s="67" t="n">
        <f aca="false">IF(U$5="A",Inputs_Actuals!U36,IF(Assumptions!U$201&lt;Contract_Register!$T$34,0,T36*(1+Contract_Register!$M$34*Assumptions!$F$178)*IF(AND(Assumptions!U$201&gt;Contract_Register!$T$34,MOD(Assumptions!U$201-Contract_Register!$T$34,Assumptions!$C$90)=0),Contract_Register!$S$34,1)))</f>
        <v>80.72288673009</v>
      </c>
      <c r="V36" s="67" t="n">
        <f aca="false">IF(V$5="A",Inputs_Actuals!V36,IF(Assumptions!V$201&lt;Contract_Register!$T$34,0,U36*(1+Contract_Register!$M$34*Assumptions!$F$178)*IF(AND(Assumptions!V$201&gt;Contract_Register!$T$34,MOD(Assumptions!V$201-Contract_Register!$T$34,Assumptions!$C$90)=0),Contract_Register!$S$34,1)))</f>
        <v>80.8036096168201</v>
      </c>
      <c r="W36" s="67" t="n">
        <f aca="false">IF(W$5="A",Inputs_Actuals!W36,IF(Assumptions!W$201&lt;Contract_Register!$T$34,0,V36*(1+Contract_Register!$M$34*Assumptions!$F$178)*IF(AND(Assumptions!W$201&gt;Contract_Register!$T$34,MOD(Assumptions!W$201-Contract_Register!$T$34,Assumptions!$C$90)=0),Contract_Register!$S$34,1)))</f>
        <v>80.8844132264369</v>
      </c>
      <c r="X36" s="67" t="n">
        <f aca="false">IF(X$5="A",Inputs_Actuals!X36,IF(Assumptions!X$201&lt;Contract_Register!$T$34,0,W36*(1+Contract_Register!$M$34*Assumptions!$F$178)*IF(AND(Assumptions!X$201&gt;Contract_Register!$T$34,MOD(Assumptions!X$201-Contract_Register!$T$34,Assumptions!$C$90)=0),Contract_Register!$S$34,1)))</f>
        <v>80.9652976396633</v>
      </c>
      <c r="Y36" s="67" t="n">
        <f aca="false">IF(Y$5="A",Inputs_Actuals!Y36,IF(Assumptions!Y$201&lt;Contract_Register!$T$34,0,X36*(1+Contract_Register!$M$34*Assumptions!$F$178)*IF(AND(Assumptions!Y$201&gt;Contract_Register!$T$34,MOD(Assumptions!Y$201-Contract_Register!$T$34,Assumptions!$C$90)=0),Contract_Register!$S$34,1)))</f>
        <v>81.046262937303</v>
      </c>
      <c r="Z36" s="67" t="n">
        <f aca="false">IF(Z$5="A",Inputs_Actuals!Z36,IF(Assumptions!Z$201&lt;Contract_Register!$T$34,0,Y36*(1+Contract_Register!$M$34*Assumptions!$F$178)*IF(AND(Assumptions!Z$201&gt;Contract_Register!$T$34,MOD(Assumptions!Z$201-Contract_Register!$T$34,Assumptions!$C$90)=0),Contract_Register!$S$34,1)))</f>
        <v>81.1273092002403</v>
      </c>
      <c r="AA36" s="67" t="n">
        <f aca="false">IF(AA$5="A",Inputs_Actuals!AA36,IF(Assumptions!AA$201&lt;Contract_Register!$T$34,0,Z36*(1+Contract_Register!$M$34*Assumptions!$F$178)*IF(AND(Assumptions!AA$201&gt;Contract_Register!$T$34,MOD(Assumptions!AA$201-Contract_Register!$T$34,Assumptions!$C$90)=0),Contract_Register!$S$34,1)))</f>
        <v>81.2084365094405</v>
      </c>
      <c r="AB36" s="67" t="n">
        <f aca="false">IF(AB$5="A",Inputs_Actuals!AB36,IF(Assumptions!AB$201&lt;Contract_Register!$T$34,0,AA36*(1+Contract_Register!$M$34*Assumptions!$F$178)*IF(AND(Assumptions!AB$201&gt;Contract_Register!$T$34,MOD(Assumptions!AB$201-Contract_Register!$T$34,Assumptions!$C$90)=0),Contract_Register!$S$34,1)))</f>
        <v>81.2896449459499</v>
      </c>
    </row>
    <row r="37" customFormat="false" ht="15" hidden="false" customHeight="false" outlineLevel="0" collapsed="false">
      <c r="A37" s="27" t="s">
        <v>802</v>
      </c>
      <c r="B37" s="63" t="s">
        <v>774</v>
      </c>
      <c r="C37" s="66" t="n">
        <f aca="false">P37</f>
        <v>83.9349019344836</v>
      </c>
      <c r="D37" s="66" t="n">
        <f aca="false">AB37</f>
        <v>84.9476789685177</v>
      </c>
      <c r="E37" s="67" t="n">
        <f aca="false">IF(E$5="A",Inputs_Actuals!E37,IF(Assumptions!E$201&lt;Contract_Register!$T$35,0,Contract_Register!$I$35*(1+Contract_Register!$M$35*Assumptions!$F$178)*IF(AND(Assumptions!E$201&gt;Contract_Register!$T$35,MOD(Assumptions!E$201-Contract_Register!$T$35,Assumptions!$C$90)=0),Contract_Register!$S$35,1)))</f>
        <v>95</v>
      </c>
      <c r="F37" s="67" t="n">
        <f aca="false">IF(F$5="A",Inputs_Actuals!F37,IF(Assumptions!F$201&lt;Contract_Register!$T$35,0,E37*(1+Contract_Register!$M$35*Assumptions!$F$178)*IF(AND(Assumptions!F$201&gt;Contract_Register!$T$35,MOD(Assumptions!F$201-Contract_Register!$T$35,Assumptions!$C$90)=0),Contract_Register!$S$35,1)))</f>
        <v>95</v>
      </c>
      <c r="G37" s="67" t="n">
        <f aca="false">IF(G$5="A",Inputs_Actuals!G37,IF(Assumptions!G$201&lt;Contract_Register!$T$35,0,F37*(1+Contract_Register!$M$35*Assumptions!$F$178)*IF(AND(Assumptions!G$201&gt;Contract_Register!$T$35,MOD(Assumptions!G$201-Contract_Register!$T$35,Assumptions!$C$90)=0),Contract_Register!$S$35,1)))</f>
        <v>95</v>
      </c>
      <c r="H37" s="67" t="n">
        <f aca="false">IF(H$5="A",Inputs_Actuals!H37,IF(Assumptions!H$201&lt;Contract_Register!$T$35,0,G37*(1+Contract_Register!$M$35*Assumptions!$F$178)*IF(AND(Assumptions!H$201&gt;Contract_Register!$T$35,MOD(Assumptions!H$201-Contract_Register!$T$35,Assumptions!$C$90)=0),Contract_Register!$S$35,1)))</f>
        <v>95</v>
      </c>
      <c r="I37" s="67" t="n">
        <f aca="false">IF(I$5="A",Inputs_Actuals!I37,IF(Assumptions!I$201&lt;Contract_Register!$T$35,0,H37*(1+Contract_Register!$M$35*Assumptions!$F$178)*IF(AND(Assumptions!I$201&gt;Contract_Register!$T$35,MOD(Assumptions!I$201-Contract_Register!$T$35,Assumptions!$C$90)=0),Contract_Register!$S$35,1)))</f>
        <v>95</v>
      </c>
      <c r="J37" s="67" t="n">
        <f aca="false">IF(J$5="A",Inputs_Actuals!J37,IF(Assumptions!J$201&lt;Contract_Register!$T$35,0,I37*(1+Contract_Register!$M$35*Assumptions!$F$178)*IF(AND(Assumptions!J$201&gt;Contract_Register!$T$35,MOD(Assumptions!J$201-Contract_Register!$T$35,Assumptions!$C$90)=0),Contract_Register!$S$35,1)))</f>
        <v>95</v>
      </c>
      <c r="K37" s="67" t="n">
        <f aca="false">IF(K$5="A",Inputs_Actuals!K37,IF(Assumptions!K$201&lt;Contract_Register!$T$35,0,J37*(1+Contract_Register!$M$35*Assumptions!$F$178)*IF(AND(Assumptions!K$201&gt;Contract_Register!$T$35,MOD(Assumptions!K$201-Contract_Register!$T$35,Assumptions!$C$90)=0),Contract_Register!$S$35,1)))</f>
        <v>94</v>
      </c>
      <c r="L37" s="67" t="n">
        <f aca="false">IF(L$5="A",Inputs_Actuals!L37,IF(Assumptions!L$201&lt;Contract_Register!$T$35,0,K37*(1+Contract_Register!$M$35*Assumptions!$F$178)*IF(AND(Assumptions!L$201&gt;Contract_Register!$T$35,MOD(Assumptions!L$201-Contract_Register!$T$35,Assumptions!$C$90)=0),Contract_Register!$S$35,1)))</f>
        <v>95</v>
      </c>
      <c r="M37" s="67" t="n">
        <f aca="false">IF(M$5="A",Inputs_Actuals!M37,IF(Assumptions!M$201&lt;Contract_Register!$T$35,0,L37*(1+Contract_Register!$M$35*Assumptions!$F$178)*IF(AND(Assumptions!M$201&gt;Contract_Register!$T$35,MOD(Assumptions!M$201-Contract_Register!$T$35,Assumptions!$C$90)=0),Contract_Register!$S$35,1)))</f>
        <v>95.095</v>
      </c>
      <c r="N37" s="67" t="n">
        <f aca="false">IF(N$5="A",Inputs_Actuals!N37,IF(Assumptions!N$201&lt;Contract_Register!$T$35,0,M37*(1+Contract_Register!$M$35*Assumptions!$F$178)*IF(AND(Assumptions!N$201&gt;Contract_Register!$T$35,MOD(Assumptions!N$201-Contract_Register!$T$35,Assumptions!$C$90)=0),Contract_Register!$S$35,1)))</f>
        <v>95.190095</v>
      </c>
      <c r="O37" s="67" t="n">
        <f aca="false">IF(O$5="A",Inputs_Actuals!O37,IF(Assumptions!O$201&lt;Contract_Register!$T$35,0,N37*(1+Contract_Register!$M$35*Assumptions!$F$178)*IF(AND(Assumptions!O$201&gt;Contract_Register!$T$35,MOD(Assumptions!O$201-Contract_Register!$T$35,Assumptions!$C$90)=0),Contract_Register!$S$35,1)))</f>
        <v>95.285285095</v>
      </c>
      <c r="P37" s="67" t="n">
        <f aca="false">IF(P$5="A",Inputs_Actuals!P37,IF(Assumptions!P$201&lt;Contract_Register!$T$35,0,O37*(1+Contract_Register!$M$35*Assumptions!$F$178)*IF(AND(Assumptions!P$201&gt;Contract_Register!$T$35,MOD(Assumptions!P$201-Contract_Register!$T$35,Assumptions!$C$90)=0),Contract_Register!$S$35,1)))</f>
        <v>83.9349019344836</v>
      </c>
      <c r="Q37" s="67" t="n">
        <f aca="false">IF(Q$5="A",Inputs_Actuals!Q37,IF(Assumptions!Q$201&lt;Contract_Register!$T$35,0,P37*(1+Contract_Register!$M$35*Assumptions!$F$178)*IF(AND(Assumptions!Q$201&gt;Contract_Register!$T$35,MOD(Assumptions!Q$201-Contract_Register!$T$35,Assumptions!$C$90)=0),Contract_Register!$S$35,1)))</f>
        <v>84.018836836418</v>
      </c>
      <c r="R37" s="67" t="n">
        <f aca="false">IF(R$5="A",Inputs_Actuals!R37,IF(Assumptions!R$201&lt;Contract_Register!$T$35,0,Q37*(1+Contract_Register!$M$35*Assumptions!$F$178)*IF(AND(Assumptions!R$201&gt;Contract_Register!$T$35,MOD(Assumptions!R$201-Contract_Register!$T$35,Assumptions!$C$90)=0),Contract_Register!$S$35,1)))</f>
        <v>84.1028556732544</v>
      </c>
      <c r="S37" s="67" t="n">
        <f aca="false">IF(S$5="A",Inputs_Actuals!S37,IF(Assumptions!S$201&lt;Contract_Register!$T$35,0,R37*(1+Contract_Register!$M$35*Assumptions!$F$178)*IF(AND(Assumptions!S$201&gt;Contract_Register!$T$35,MOD(Assumptions!S$201-Contract_Register!$T$35,Assumptions!$C$90)=0),Contract_Register!$S$35,1)))</f>
        <v>84.1869585289277</v>
      </c>
      <c r="T37" s="67" t="n">
        <f aca="false">IF(T$5="A",Inputs_Actuals!T37,IF(Assumptions!T$201&lt;Contract_Register!$T$35,0,S37*(1+Contract_Register!$M$35*Assumptions!$F$178)*IF(AND(Assumptions!T$201&gt;Contract_Register!$T$35,MOD(Assumptions!T$201-Contract_Register!$T$35,Assumptions!$C$90)=0),Contract_Register!$S$35,1)))</f>
        <v>84.2711454874566</v>
      </c>
      <c r="U37" s="67" t="n">
        <f aca="false">IF(U$5="A",Inputs_Actuals!U37,IF(Assumptions!U$201&lt;Contract_Register!$T$35,0,T37*(1+Contract_Register!$M$35*Assumptions!$F$178)*IF(AND(Assumptions!U$201&gt;Contract_Register!$T$35,MOD(Assumptions!U$201-Contract_Register!$T$35,Assumptions!$C$90)=0),Contract_Register!$S$35,1)))</f>
        <v>84.3554166329441</v>
      </c>
      <c r="V37" s="67" t="n">
        <f aca="false">IF(V$5="A",Inputs_Actuals!V37,IF(Assumptions!V$201&lt;Contract_Register!$T$35,0,U37*(1+Contract_Register!$M$35*Assumptions!$F$178)*IF(AND(Assumptions!V$201&gt;Contract_Register!$T$35,MOD(Assumptions!V$201-Contract_Register!$T$35,Assumptions!$C$90)=0),Contract_Register!$S$35,1)))</f>
        <v>84.439772049577</v>
      </c>
      <c r="W37" s="67" t="n">
        <f aca="false">IF(W$5="A",Inputs_Actuals!W37,IF(Assumptions!W$201&lt;Contract_Register!$T$35,0,V37*(1+Contract_Register!$M$35*Assumptions!$F$178)*IF(AND(Assumptions!W$201&gt;Contract_Register!$T$35,MOD(Assumptions!W$201-Contract_Register!$T$35,Assumptions!$C$90)=0),Contract_Register!$S$35,1)))</f>
        <v>84.5242118216266</v>
      </c>
      <c r="X37" s="67" t="n">
        <f aca="false">IF(X$5="A",Inputs_Actuals!X37,IF(Assumptions!X$201&lt;Contract_Register!$T$35,0,W37*(1+Contract_Register!$M$35*Assumptions!$F$178)*IF(AND(Assumptions!X$201&gt;Contract_Register!$T$35,MOD(Assumptions!X$201-Contract_Register!$T$35,Assumptions!$C$90)=0),Contract_Register!$S$35,1)))</f>
        <v>84.6087360334482</v>
      </c>
      <c r="Y37" s="67" t="n">
        <f aca="false">IF(Y$5="A",Inputs_Actuals!Y37,IF(Assumptions!Y$201&lt;Contract_Register!$T$35,0,X37*(1+Contract_Register!$M$35*Assumptions!$F$178)*IF(AND(Assumptions!Y$201&gt;Contract_Register!$T$35,MOD(Assumptions!Y$201-Contract_Register!$T$35,Assumptions!$C$90)=0),Contract_Register!$S$35,1)))</f>
        <v>84.6933447694816</v>
      </c>
      <c r="Z37" s="67" t="n">
        <f aca="false">IF(Z$5="A",Inputs_Actuals!Z37,IF(Assumptions!Z$201&lt;Contract_Register!$T$35,0,Y37*(1+Contract_Register!$M$35*Assumptions!$F$178)*IF(AND(Assumptions!Z$201&gt;Contract_Register!$T$35,MOD(Assumptions!Z$201-Contract_Register!$T$35,Assumptions!$C$90)=0),Contract_Register!$S$35,1)))</f>
        <v>84.7780381142511</v>
      </c>
      <c r="AA37" s="67" t="n">
        <f aca="false">IF(AA$5="A",Inputs_Actuals!AA37,IF(Assumptions!AA$201&lt;Contract_Register!$T$35,0,Z37*(1+Contract_Register!$M$35*Assumptions!$F$178)*IF(AND(Assumptions!AA$201&gt;Contract_Register!$T$35,MOD(Assumptions!AA$201-Contract_Register!$T$35,Assumptions!$C$90)=0),Contract_Register!$S$35,1)))</f>
        <v>84.8628161523653</v>
      </c>
      <c r="AB37" s="67" t="n">
        <f aca="false">IF(AB$5="A",Inputs_Actuals!AB37,IF(Assumptions!AB$201&lt;Contract_Register!$T$35,0,AA37*(1+Contract_Register!$M$35*Assumptions!$F$178)*IF(AND(Assumptions!AB$201&gt;Contract_Register!$T$35,MOD(Assumptions!AB$201-Contract_Register!$T$35,Assumptions!$C$90)=0),Contract_Register!$S$35,1)))</f>
        <v>84.9476789685177</v>
      </c>
    </row>
    <row r="38" customFormat="false" ht="15" hidden="false" customHeight="false" outlineLevel="0" collapsed="false">
      <c r="A38" s="27" t="s">
        <v>803</v>
      </c>
      <c r="B38" s="63" t="s">
        <v>774</v>
      </c>
      <c r="C38" s="66" t="n">
        <f aca="false">P38</f>
        <v>56.449345792896</v>
      </c>
      <c r="D38" s="66" t="n">
        <f aca="false">AB38</f>
        <v>53.7717932422759</v>
      </c>
      <c r="E38" s="67" t="n">
        <f aca="false">IF(E$5="A",Inputs_Actuals!E38,IF(Assumptions!E$201&lt;Contract_Register!$T$36,0,Contract_Register!$I$36*(1+Contract_Register!$M$36*Assumptions!$F$178)*IF(AND(Assumptions!E$201&gt;Contract_Register!$T$36,MOD(Assumptions!E$201-Contract_Register!$T$36,Assumptions!$C$90)=0),Contract_Register!$S$36,1)))</f>
        <v>55</v>
      </c>
      <c r="F38" s="67" t="n">
        <f aca="false">IF(F$5="A",Inputs_Actuals!F38,IF(Assumptions!F$201&lt;Contract_Register!$T$36,0,E38*(1+Contract_Register!$M$36*Assumptions!$F$178)*IF(AND(Assumptions!F$201&gt;Contract_Register!$T$36,MOD(Assumptions!F$201-Contract_Register!$T$36,Assumptions!$C$90)=0),Contract_Register!$S$36,1)))</f>
        <v>55</v>
      </c>
      <c r="G38" s="67" t="n">
        <f aca="false">IF(G$5="A",Inputs_Actuals!G38,IF(Assumptions!G$201&lt;Contract_Register!$T$36,0,F38*(1+Contract_Register!$M$36*Assumptions!$F$178)*IF(AND(Assumptions!G$201&gt;Contract_Register!$T$36,MOD(Assumptions!G$201-Contract_Register!$T$36,Assumptions!$C$90)=0),Contract_Register!$S$36,1)))</f>
        <v>56</v>
      </c>
      <c r="H38" s="67" t="n">
        <f aca="false">IF(H$5="A",Inputs_Actuals!H38,IF(Assumptions!H$201&lt;Contract_Register!$T$36,0,G38*(1+Contract_Register!$M$36*Assumptions!$F$178)*IF(AND(Assumptions!H$201&gt;Contract_Register!$T$36,MOD(Assumptions!H$201-Contract_Register!$T$36,Assumptions!$C$90)=0),Contract_Register!$S$36,1)))</f>
        <v>56</v>
      </c>
      <c r="I38" s="67" t="n">
        <f aca="false">IF(I$5="A",Inputs_Actuals!I38,IF(Assumptions!I$201&lt;Contract_Register!$T$36,0,H38*(1+Contract_Register!$M$36*Assumptions!$F$178)*IF(AND(Assumptions!I$201&gt;Contract_Register!$T$36,MOD(Assumptions!I$201-Contract_Register!$T$36,Assumptions!$C$90)=0),Contract_Register!$S$36,1)))</f>
        <v>56</v>
      </c>
      <c r="J38" s="67" t="n">
        <f aca="false">IF(J$5="A",Inputs_Actuals!J38,IF(Assumptions!J$201&lt;Contract_Register!$T$36,0,I38*(1+Contract_Register!$M$36*Assumptions!$F$178)*IF(AND(Assumptions!J$201&gt;Contract_Register!$T$36,MOD(Assumptions!J$201-Contract_Register!$T$36,Assumptions!$C$90)=0),Contract_Register!$S$36,1)))</f>
        <v>56</v>
      </c>
      <c r="K38" s="67" t="n">
        <f aca="false">IF(K$5="A",Inputs_Actuals!K38,IF(Assumptions!K$201&lt;Contract_Register!$T$36,0,J38*(1+Contract_Register!$M$36*Assumptions!$F$178)*IF(AND(Assumptions!K$201&gt;Contract_Register!$T$36,MOD(Assumptions!K$201-Contract_Register!$T$36,Assumptions!$C$90)=0),Contract_Register!$S$36,1)))</f>
        <v>56</v>
      </c>
      <c r="L38" s="67" t="n">
        <f aca="false">IF(L$5="A",Inputs_Actuals!L38,IF(Assumptions!L$201&lt;Contract_Register!$T$36,0,K38*(1+Contract_Register!$M$36*Assumptions!$F$178)*IF(AND(Assumptions!L$201&gt;Contract_Register!$T$36,MOD(Assumptions!L$201-Contract_Register!$T$36,Assumptions!$C$90)=0),Contract_Register!$S$36,1)))</f>
        <v>56</v>
      </c>
      <c r="M38" s="67" t="n">
        <f aca="false">IF(M$5="A",Inputs_Actuals!M38,IF(Assumptions!M$201&lt;Contract_Register!$T$36,0,L38*(1+Contract_Register!$M$36*Assumptions!$F$178)*IF(AND(Assumptions!M$201&gt;Contract_Register!$T$36,MOD(Assumptions!M$201-Contract_Register!$T$36,Assumptions!$C$90)=0),Contract_Register!$S$36,1)))</f>
        <v>56.112</v>
      </c>
      <c r="N38" s="67" t="n">
        <f aca="false">IF(N$5="A",Inputs_Actuals!N38,IF(Assumptions!N$201&lt;Contract_Register!$T$36,0,M38*(1+Contract_Register!$M$36*Assumptions!$F$178)*IF(AND(Assumptions!N$201&gt;Contract_Register!$T$36,MOD(Assumptions!N$201-Contract_Register!$T$36,Assumptions!$C$90)=0),Contract_Register!$S$36,1)))</f>
        <v>56.224224</v>
      </c>
      <c r="O38" s="67" t="n">
        <f aca="false">IF(O$5="A",Inputs_Actuals!O38,IF(Assumptions!O$201&lt;Contract_Register!$T$36,0,N38*(1+Contract_Register!$M$36*Assumptions!$F$178)*IF(AND(Assumptions!O$201&gt;Contract_Register!$T$36,MOD(Assumptions!O$201-Contract_Register!$T$36,Assumptions!$C$90)=0),Contract_Register!$S$36,1)))</f>
        <v>56.336672448</v>
      </c>
      <c r="P38" s="67" t="n">
        <f aca="false">IF(P$5="A",Inputs_Actuals!P38,IF(Assumptions!P$201&lt;Contract_Register!$T$36,0,O38*(1+Contract_Register!$M$36*Assumptions!$F$178)*IF(AND(Assumptions!P$201&gt;Contract_Register!$T$36,MOD(Assumptions!P$201-Contract_Register!$T$36,Assumptions!$C$90)=0),Contract_Register!$S$36,1)))</f>
        <v>56.449345792896</v>
      </c>
      <c r="Q38" s="67" t="n">
        <f aca="false">IF(Q$5="A",Inputs_Actuals!Q38,IF(Assumptions!Q$201&lt;Contract_Register!$T$36,0,P38*(1+Contract_Register!$M$36*Assumptions!$F$178)*IF(AND(Assumptions!Q$201&gt;Contract_Register!$T$36,MOD(Assumptions!Q$201-Contract_Register!$T$36,Assumptions!$C$90)=0),Contract_Register!$S$36,1)))</f>
        <v>56.5622444844818</v>
      </c>
      <c r="R38" s="67" t="n">
        <f aca="false">IF(R$5="A",Inputs_Actuals!R38,IF(Assumptions!R$201&lt;Contract_Register!$T$36,0,Q38*(1+Contract_Register!$M$36*Assumptions!$F$178)*IF(AND(Assumptions!R$201&gt;Contract_Register!$T$36,MOD(Assumptions!R$201-Contract_Register!$T$36,Assumptions!$C$90)=0),Contract_Register!$S$36,1)))</f>
        <v>56.6753689734508</v>
      </c>
      <c r="S38" s="67" t="n">
        <f aca="false">IF(S$5="A",Inputs_Actuals!S38,IF(Assumptions!S$201&lt;Contract_Register!$T$36,0,R38*(1+Contract_Register!$M$36*Assumptions!$F$178)*IF(AND(Assumptions!S$201&gt;Contract_Register!$T$36,MOD(Assumptions!S$201-Contract_Register!$T$36,Assumptions!$C$90)=0),Contract_Register!$S$36,1)))</f>
        <v>56.7887197113977</v>
      </c>
      <c r="T38" s="67" t="n">
        <f aca="false">IF(T$5="A",Inputs_Actuals!T38,IF(Assumptions!T$201&lt;Contract_Register!$T$36,0,S38*(1+Contract_Register!$M$36*Assumptions!$F$178)*IF(AND(Assumptions!T$201&gt;Contract_Register!$T$36,MOD(Assumptions!T$201-Contract_Register!$T$36,Assumptions!$C$90)=0),Contract_Register!$S$36,1)))</f>
        <v>56.9022971508205</v>
      </c>
      <c r="U38" s="67" t="n">
        <f aca="false">IF(U$5="A",Inputs_Actuals!U38,IF(Assumptions!U$201&lt;Contract_Register!$T$36,0,T38*(1+Contract_Register!$M$36*Assumptions!$F$178)*IF(AND(Assumptions!U$201&gt;Contract_Register!$T$36,MOD(Assumptions!U$201-Contract_Register!$T$36,Assumptions!$C$90)=0),Contract_Register!$S$36,1)))</f>
        <v>57.0161017451221</v>
      </c>
      <c r="V38" s="67" t="n">
        <f aca="false">IF(V$5="A",Inputs_Actuals!V38,IF(Assumptions!V$201&lt;Contract_Register!$T$36,0,U38*(1+Contract_Register!$M$36*Assumptions!$F$178)*IF(AND(Assumptions!V$201&gt;Contract_Register!$T$36,MOD(Assumptions!V$201-Contract_Register!$T$36,Assumptions!$C$90)=0),Contract_Register!$S$36,1)))</f>
        <v>57.1301339486124</v>
      </c>
      <c r="W38" s="67" t="n">
        <f aca="false">IF(W$5="A",Inputs_Actuals!W38,IF(Assumptions!W$201&lt;Contract_Register!$T$36,0,V38*(1+Contract_Register!$M$36*Assumptions!$F$178)*IF(AND(Assumptions!W$201&gt;Contract_Register!$T$36,MOD(Assumptions!W$201-Contract_Register!$T$36,Assumptions!$C$90)=0),Contract_Register!$S$36,1)))</f>
        <v>53.2372866213539</v>
      </c>
      <c r="X38" s="67" t="n">
        <f aca="false">IF(X$5="A",Inputs_Actuals!X38,IF(Assumptions!X$201&lt;Contract_Register!$T$36,0,W38*(1+Contract_Register!$M$36*Assumptions!$F$178)*IF(AND(Assumptions!X$201&gt;Contract_Register!$T$36,MOD(Assumptions!X$201-Contract_Register!$T$36,Assumptions!$C$90)=0),Contract_Register!$S$36,1)))</f>
        <v>53.3437611945966</v>
      </c>
      <c r="Y38" s="67" t="n">
        <f aca="false">IF(Y$5="A",Inputs_Actuals!Y38,IF(Assumptions!Y$201&lt;Contract_Register!$T$36,0,X38*(1+Contract_Register!$M$36*Assumptions!$F$178)*IF(AND(Assumptions!Y$201&gt;Contract_Register!$T$36,MOD(Assumptions!Y$201-Contract_Register!$T$36,Assumptions!$C$90)=0),Contract_Register!$S$36,1)))</f>
        <v>53.4504487169858</v>
      </c>
      <c r="Z38" s="67" t="n">
        <f aca="false">IF(Z$5="A",Inputs_Actuals!Z38,IF(Assumptions!Z$201&lt;Contract_Register!$T$36,0,Y38*(1+Contract_Register!$M$36*Assumptions!$F$178)*IF(AND(Assumptions!Z$201&gt;Contract_Register!$T$36,MOD(Assumptions!Z$201-Contract_Register!$T$36,Assumptions!$C$90)=0),Contract_Register!$S$36,1)))</f>
        <v>53.5573496144198</v>
      </c>
      <c r="AA38" s="67" t="n">
        <f aca="false">IF(AA$5="A",Inputs_Actuals!AA38,IF(Assumptions!AA$201&lt;Contract_Register!$T$36,0,Z38*(1+Contract_Register!$M$36*Assumptions!$F$178)*IF(AND(Assumptions!AA$201&gt;Contract_Register!$T$36,MOD(Assumptions!AA$201-Contract_Register!$T$36,Assumptions!$C$90)=0),Contract_Register!$S$36,1)))</f>
        <v>53.6644643136486</v>
      </c>
      <c r="AB38" s="67" t="n">
        <f aca="false">IF(AB$5="A",Inputs_Actuals!AB38,IF(Assumptions!AB$201&lt;Contract_Register!$T$36,0,AA38*(1+Contract_Register!$M$36*Assumptions!$F$178)*IF(AND(Assumptions!AB$201&gt;Contract_Register!$T$36,MOD(Assumptions!AB$201-Contract_Register!$T$36,Assumptions!$C$90)=0),Contract_Register!$S$36,1)))</f>
        <v>53.7717932422759</v>
      </c>
    </row>
    <row r="39" customFormat="false" ht="15" hidden="false" customHeight="false" outlineLevel="0" collapsed="false">
      <c r="A39" s="27" t="s">
        <v>804</v>
      </c>
      <c r="B39" s="63" t="s">
        <v>774</v>
      </c>
      <c r="C39" s="66" t="n">
        <f aca="false">P39</f>
        <v>82.303796756736</v>
      </c>
      <c r="D39" s="66" t="n">
        <f aca="false">AB39</f>
        <v>86.3424611444915</v>
      </c>
      <c r="E39" s="67" t="n">
        <f aca="false">IF(E$5="A",Inputs_Actuals!E39,IF(Assumptions!E$201&lt;Contract_Register!$T$37,0,0*(1+Contract_Register!$M$37*Assumptions!$F$178)*IF(AND(Assumptions!E$201&gt;Contract_Register!$T$37,MOD(Assumptions!E$201-Contract_Register!$T$37,Assumptions!$C$90)=0),Contract_Register!$S$37,1)))</f>
        <v>0</v>
      </c>
      <c r="F39" s="67" t="n">
        <f aca="false">IF(F$5="A",Inputs_Actuals!F39,IF(Assumptions!F$201&lt;Contract_Register!$T$37,0,E39*(1+Contract_Register!$M$37*Assumptions!$F$178)*IF(AND(Assumptions!F$201&gt;Contract_Register!$T$37,MOD(Assumptions!F$201-Contract_Register!$T$37,Assumptions!$C$90)=0),Contract_Register!$S$37,1)))</f>
        <v>0</v>
      </c>
      <c r="G39" s="67" t="n">
        <f aca="false">IF(G$5="A",Inputs_Actuals!G39,IF(Assumptions!G$201&lt;Contract_Register!$T$37,0,F39*(1+Contract_Register!$M$37*Assumptions!$F$178)*IF(AND(Assumptions!G$201&gt;Contract_Register!$T$37,MOD(Assumptions!G$201-Contract_Register!$T$37,Assumptions!$C$90)=0),Contract_Register!$S$37,1)))</f>
        <v>80</v>
      </c>
      <c r="H39" s="67" t="n">
        <f aca="false">IF(H$5="A",Inputs_Actuals!H39,IF(Assumptions!H$201&lt;Contract_Register!$T$37,0,G39*(1+Contract_Register!$M$37*Assumptions!$F$178)*IF(AND(Assumptions!H$201&gt;Contract_Register!$T$37,MOD(Assumptions!H$201-Contract_Register!$T$37,Assumptions!$C$90)=0),Contract_Register!$S$37,1)))</f>
        <v>80</v>
      </c>
      <c r="I39" s="67" t="n">
        <f aca="false">IF(I$5="A",Inputs_Actuals!I39,IF(Assumptions!I$201&lt;Contract_Register!$T$37,0,H39*(1+Contract_Register!$M$37*Assumptions!$F$178)*IF(AND(Assumptions!I$201&gt;Contract_Register!$T$37,MOD(Assumptions!I$201-Contract_Register!$T$37,Assumptions!$C$90)=0),Contract_Register!$S$37,1)))</f>
        <v>81</v>
      </c>
      <c r="J39" s="67" t="n">
        <f aca="false">IF(J$5="A",Inputs_Actuals!J39,IF(Assumptions!J$201&lt;Contract_Register!$T$37,0,I39*(1+Contract_Register!$M$37*Assumptions!$F$178)*IF(AND(Assumptions!J$201&gt;Contract_Register!$T$37,MOD(Assumptions!J$201-Contract_Register!$T$37,Assumptions!$C$90)=0),Contract_Register!$S$37,1)))</f>
        <v>81</v>
      </c>
      <c r="K39" s="67" t="n">
        <f aca="false">IF(K$5="A",Inputs_Actuals!K39,IF(Assumptions!K$201&lt;Contract_Register!$T$37,0,J39*(1+Contract_Register!$M$37*Assumptions!$F$178)*IF(AND(Assumptions!K$201&gt;Contract_Register!$T$37,MOD(Assumptions!K$201-Contract_Register!$T$37,Assumptions!$C$90)=0),Contract_Register!$S$37,1)))</f>
        <v>81</v>
      </c>
      <c r="L39" s="67" t="n">
        <f aca="false">IF(L$5="A",Inputs_Actuals!L39,IF(Assumptions!L$201&lt;Contract_Register!$T$37,0,K39*(1+Contract_Register!$M$37*Assumptions!$F$178)*IF(AND(Assumptions!L$201&gt;Contract_Register!$T$37,MOD(Assumptions!L$201-Contract_Register!$T$37,Assumptions!$C$90)=0),Contract_Register!$S$37,1)))</f>
        <v>81</v>
      </c>
      <c r="M39" s="67" t="n">
        <f aca="false">IF(M$5="A",Inputs_Actuals!M39,IF(Assumptions!M$201&lt;Contract_Register!$T$37,0,L39*(1+Contract_Register!$M$37*Assumptions!$F$178)*IF(AND(Assumptions!M$201&gt;Contract_Register!$T$37,MOD(Assumptions!M$201-Contract_Register!$T$37,Assumptions!$C$90)=0),Contract_Register!$S$37,1)))</f>
        <v>81.324</v>
      </c>
      <c r="N39" s="67" t="n">
        <f aca="false">IF(N$5="A",Inputs_Actuals!N39,IF(Assumptions!N$201&lt;Contract_Register!$T$37,0,M39*(1+Contract_Register!$M$37*Assumptions!$F$178)*IF(AND(Assumptions!N$201&gt;Contract_Register!$T$37,MOD(Assumptions!N$201-Contract_Register!$T$37,Assumptions!$C$90)=0),Contract_Register!$S$37,1)))</f>
        <v>81.649296</v>
      </c>
      <c r="O39" s="67" t="n">
        <f aca="false">IF(O$5="A",Inputs_Actuals!O39,IF(Assumptions!O$201&lt;Contract_Register!$T$37,0,N39*(1+Contract_Register!$M$37*Assumptions!$F$178)*IF(AND(Assumptions!O$201&gt;Contract_Register!$T$37,MOD(Assumptions!O$201-Contract_Register!$T$37,Assumptions!$C$90)=0),Contract_Register!$S$37,1)))</f>
        <v>81.975893184</v>
      </c>
      <c r="P39" s="67" t="n">
        <f aca="false">IF(P$5="A",Inputs_Actuals!P39,IF(Assumptions!P$201&lt;Contract_Register!$T$37,0,O39*(1+Contract_Register!$M$37*Assumptions!$F$178)*IF(AND(Assumptions!P$201&gt;Contract_Register!$T$37,MOD(Assumptions!P$201-Contract_Register!$T$37,Assumptions!$C$90)=0),Contract_Register!$S$37,1)))</f>
        <v>82.303796756736</v>
      </c>
      <c r="Q39" s="67" t="n">
        <f aca="false">IF(Q$5="A",Inputs_Actuals!Q39,IF(Assumptions!Q$201&lt;Contract_Register!$T$37,0,P39*(1+Contract_Register!$M$37*Assumptions!$F$178)*IF(AND(Assumptions!Q$201&gt;Contract_Register!$T$37,MOD(Assumptions!Q$201-Contract_Register!$T$37,Assumptions!$C$90)=0),Contract_Register!$S$37,1)))</f>
        <v>82.6330119437629</v>
      </c>
      <c r="R39" s="67" t="n">
        <f aca="false">IF(R$5="A",Inputs_Actuals!R39,IF(Assumptions!R$201&lt;Contract_Register!$T$37,0,Q39*(1+Contract_Register!$M$37*Assumptions!$F$178)*IF(AND(Assumptions!R$201&gt;Contract_Register!$T$37,MOD(Assumptions!R$201-Contract_Register!$T$37,Assumptions!$C$90)=0),Contract_Register!$S$37,1)))</f>
        <v>82.963543991538</v>
      </c>
      <c r="S39" s="67" t="n">
        <f aca="false">IF(S$5="A",Inputs_Actuals!S39,IF(Assumptions!S$201&lt;Contract_Register!$T$37,0,R39*(1+Contract_Register!$M$37*Assumptions!$F$178)*IF(AND(Assumptions!S$201&gt;Contract_Register!$T$37,MOD(Assumptions!S$201-Contract_Register!$T$37,Assumptions!$C$90)=0),Contract_Register!$S$37,1)))</f>
        <v>83.2953981675042</v>
      </c>
      <c r="T39" s="67" t="n">
        <f aca="false">IF(T$5="A",Inputs_Actuals!T39,IF(Assumptions!T$201&lt;Contract_Register!$T$37,0,S39*(1+Contract_Register!$M$37*Assumptions!$F$178)*IF(AND(Assumptions!T$201&gt;Contract_Register!$T$37,MOD(Assumptions!T$201-Contract_Register!$T$37,Assumptions!$C$90)=0),Contract_Register!$S$37,1)))</f>
        <v>83.6285797601742</v>
      </c>
      <c r="U39" s="67" t="n">
        <f aca="false">IF(U$5="A",Inputs_Actuals!U39,IF(Assumptions!U$201&lt;Contract_Register!$T$37,0,T39*(1+Contract_Register!$M$37*Assumptions!$F$178)*IF(AND(Assumptions!U$201&gt;Contract_Register!$T$37,MOD(Assumptions!U$201-Contract_Register!$T$37,Assumptions!$C$90)=0),Contract_Register!$S$37,1)))</f>
        <v>83.9630940792149</v>
      </c>
      <c r="V39" s="67" t="n">
        <f aca="false">IF(V$5="A",Inputs_Actuals!V39,IF(Assumptions!V$201&lt;Contract_Register!$T$37,0,U39*(1+Contract_Register!$M$37*Assumptions!$F$178)*IF(AND(Assumptions!V$201&gt;Contract_Register!$T$37,MOD(Assumptions!V$201-Contract_Register!$T$37,Assumptions!$C$90)=0),Contract_Register!$S$37,1)))</f>
        <v>84.2989464555317</v>
      </c>
      <c r="W39" s="67" t="n">
        <f aca="false">IF(W$5="A",Inputs_Actuals!W39,IF(Assumptions!W$201&lt;Contract_Register!$T$37,0,V39*(1+Contract_Register!$M$37*Assumptions!$F$178)*IF(AND(Assumptions!W$201&gt;Contract_Register!$T$37,MOD(Assumptions!W$201-Contract_Register!$T$37,Assumptions!$C$90)=0),Contract_Register!$S$37,1)))</f>
        <v>84.6361422413539</v>
      </c>
      <c r="X39" s="67" t="n">
        <f aca="false">IF(X$5="A",Inputs_Actuals!X39,IF(Assumptions!X$201&lt;Contract_Register!$T$37,0,W39*(1+Contract_Register!$M$37*Assumptions!$F$178)*IF(AND(Assumptions!X$201&gt;Contract_Register!$T$37,MOD(Assumptions!X$201-Contract_Register!$T$37,Assumptions!$C$90)=0),Contract_Register!$S$37,1)))</f>
        <v>84.9746868103193</v>
      </c>
      <c r="Y39" s="67" t="n">
        <f aca="false">IF(Y$5="A",Inputs_Actuals!Y39,IF(Assumptions!Y$201&lt;Contract_Register!$T$37,0,X39*(1+Contract_Register!$M$37*Assumptions!$F$178)*IF(AND(Assumptions!Y$201&gt;Contract_Register!$T$37,MOD(Assumptions!Y$201-Contract_Register!$T$37,Assumptions!$C$90)=0),Contract_Register!$S$37,1)))</f>
        <v>85.3145855575606</v>
      </c>
      <c r="Z39" s="67" t="n">
        <f aca="false">IF(Z$5="A",Inputs_Actuals!Z39,IF(Assumptions!Z$201&lt;Contract_Register!$T$37,0,Y39*(1+Contract_Register!$M$37*Assumptions!$F$178)*IF(AND(Assumptions!Z$201&gt;Contract_Register!$T$37,MOD(Assumptions!Z$201-Contract_Register!$T$37,Assumptions!$C$90)=0),Contract_Register!$S$37,1)))</f>
        <v>85.6558438997908</v>
      </c>
      <c r="AA39" s="67" t="n">
        <f aca="false">IF(AA$5="A",Inputs_Actuals!AA39,IF(Assumptions!AA$201&lt;Contract_Register!$T$37,0,Z39*(1+Contract_Register!$M$37*Assumptions!$F$178)*IF(AND(Assumptions!AA$201&gt;Contract_Register!$T$37,MOD(Assumptions!AA$201-Contract_Register!$T$37,Assumptions!$C$90)=0),Contract_Register!$S$37,1)))</f>
        <v>85.99846727539</v>
      </c>
      <c r="AB39" s="67" t="n">
        <f aca="false">IF(AB$5="A",Inputs_Actuals!AB39,IF(Assumptions!AB$201&lt;Contract_Register!$T$37,0,AA39*(1+Contract_Register!$M$37*Assumptions!$F$178)*IF(AND(Assumptions!AB$201&gt;Contract_Register!$T$37,MOD(Assumptions!AB$201-Contract_Register!$T$37,Assumptions!$C$90)=0),Contract_Register!$S$37,1)))</f>
        <v>86.3424611444915</v>
      </c>
    </row>
    <row r="40" customFormat="false" ht="15" hidden="false" customHeight="false" outlineLevel="0" collapsed="false">
      <c r="A40" s="27" t="s">
        <v>805</v>
      </c>
      <c r="B40" s="63" t="s">
        <v>774</v>
      </c>
      <c r="C40" s="66" t="n">
        <f aca="false">P40</f>
        <v>68.078449169152</v>
      </c>
      <c r="D40" s="66" t="n">
        <f aca="false">AB40</f>
        <v>71.41907279853</v>
      </c>
      <c r="E40" s="67" t="n">
        <f aca="false">IF(E$5="A",Inputs_Actuals!E40,IF(Assumptions!E$201&lt;Contract_Register!$T$38,0,0*(1+Contract_Register!$M$38*Assumptions!$F$178)*IF(AND(Assumptions!E$201&gt;Contract_Register!$T$38,MOD(Assumptions!E$201-Contract_Register!$T$38,Assumptions!$C$90)=0),Contract_Register!$S$38,1)))</f>
        <v>0</v>
      </c>
      <c r="F40" s="67" t="n">
        <f aca="false">IF(F$5="A",Inputs_Actuals!F40,IF(Assumptions!F$201&lt;Contract_Register!$T$38,0,E40*(1+Contract_Register!$M$38*Assumptions!$F$178)*IF(AND(Assumptions!F$201&gt;Contract_Register!$T$38,MOD(Assumptions!F$201-Contract_Register!$T$38,Assumptions!$C$90)=0),Contract_Register!$S$38,1)))</f>
        <v>0</v>
      </c>
      <c r="G40" s="67" t="n">
        <f aca="false">IF(G$5="A",Inputs_Actuals!G40,IF(Assumptions!G$201&lt;Contract_Register!$T$38,0,F40*(1+Contract_Register!$M$38*Assumptions!$F$178)*IF(AND(Assumptions!G$201&gt;Contract_Register!$T$38,MOD(Assumptions!G$201-Contract_Register!$T$38,Assumptions!$C$90)=0),Contract_Register!$S$38,1)))</f>
        <v>0</v>
      </c>
      <c r="H40" s="67" t="n">
        <f aca="false">IF(H$5="A",Inputs_Actuals!H40,IF(Assumptions!H$201&lt;Contract_Register!$T$38,0,G40*(1+Contract_Register!$M$38*Assumptions!$F$178)*IF(AND(Assumptions!H$201&gt;Contract_Register!$T$38,MOD(Assumptions!H$201-Contract_Register!$T$38,Assumptions!$C$90)=0),Contract_Register!$S$38,1)))</f>
        <v>0</v>
      </c>
      <c r="I40" s="67" t="n">
        <f aca="false">IF(I$5="A",Inputs_Actuals!I40,IF(Assumptions!I$201&lt;Contract_Register!$T$38,0,H40*(1+Contract_Register!$M$38*Assumptions!$F$178)*IF(AND(Assumptions!I$201&gt;Contract_Register!$T$38,MOD(Assumptions!I$201-Contract_Register!$T$38,Assumptions!$C$90)=0),Contract_Register!$S$38,1)))</f>
        <v>66</v>
      </c>
      <c r="J40" s="67" t="n">
        <f aca="false">IF(J$5="A",Inputs_Actuals!J40,IF(Assumptions!J$201&lt;Contract_Register!$T$38,0,I40*(1+Contract_Register!$M$38*Assumptions!$F$178)*IF(AND(Assumptions!J$201&gt;Contract_Register!$T$38,MOD(Assumptions!J$201-Contract_Register!$T$38,Assumptions!$C$90)=0),Contract_Register!$S$38,1)))</f>
        <v>66</v>
      </c>
      <c r="K40" s="67" t="n">
        <f aca="false">IF(K$5="A",Inputs_Actuals!K40,IF(Assumptions!K$201&lt;Contract_Register!$T$38,0,J40*(1+Contract_Register!$M$38*Assumptions!$F$178)*IF(AND(Assumptions!K$201&gt;Contract_Register!$T$38,MOD(Assumptions!K$201-Contract_Register!$T$38,Assumptions!$C$90)=0),Contract_Register!$S$38,1)))</f>
        <v>67</v>
      </c>
      <c r="L40" s="67" t="n">
        <f aca="false">IF(L$5="A",Inputs_Actuals!L40,IF(Assumptions!L$201&lt;Contract_Register!$T$38,0,K40*(1+Contract_Register!$M$38*Assumptions!$F$178)*IF(AND(Assumptions!L$201&gt;Contract_Register!$T$38,MOD(Assumptions!L$201-Contract_Register!$T$38,Assumptions!$C$90)=0),Contract_Register!$S$38,1)))</f>
        <v>67</v>
      </c>
      <c r="M40" s="67" t="n">
        <f aca="false">IF(M$5="A",Inputs_Actuals!M40,IF(Assumptions!M$201&lt;Contract_Register!$T$38,0,L40*(1+Contract_Register!$M$38*Assumptions!$F$178)*IF(AND(Assumptions!M$201&gt;Contract_Register!$T$38,MOD(Assumptions!M$201-Contract_Register!$T$38,Assumptions!$C$90)=0),Contract_Register!$S$38,1)))</f>
        <v>67.268</v>
      </c>
      <c r="N40" s="67" t="n">
        <f aca="false">IF(N$5="A",Inputs_Actuals!N40,IF(Assumptions!N$201&lt;Contract_Register!$T$38,0,M40*(1+Contract_Register!$M$38*Assumptions!$F$178)*IF(AND(Assumptions!N$201&gt;Contract_Register!$T$38,MOD(Assumptions!N$201-Contract_Register!$T$38,Assumptions!$C$90)=0),Contract_Register!$S$38,1)))</f>
        <v>67.537072</v>
      </c>
      <c r="O40" s="67" t="n">
        <f aca="false">IF(O$5="A",Inputs_Actuals!O40,IF(Assumptions!O$201&lt;Contract_Register!$T$38,0,N40*(1+Contract_Register!$M$38*Assumptions!$F$178)*IF(AND(Assumptions!O$201&gt;Contract_Register!$T$38,MOD(Assumptions!O$201-Contract_Register!$T$38,Assumptions!$C$90)=0),Contract_Register!$S$38,1)))</f>
        <v>67.807220288</v>
      </c>
      <c r="P40" s="67" t="n">
        <f aca="false">IF(P$5="A",Inputs_Actuals!P40,IF(Assumptions!P$201&lt;Contract_Register!$T$38,0,O40*(1+Contract_Register!$M$38*Assumptions!$F$178)*IF(AND(Assumptions!P$201&gt;Contract_Register!$T$38,MOD(Assumptions!P$201-Contract_Register!$T$38,Assumptions!$C$90)=0),Contract_Register!$S$38,1)))</f>
        <v>68.078449169152</v>
      </c>
      <c r="Q40" s="67" t="n">
        <f aca="false">IF(Q$5="A",Inputs_Actuals!Q40,IF(Assumptions!Q$201&lt;Contract_Register!$T$38,0,P40*(1+Contract_Register!$M$38*Assumptions!$F$178)*IF(AND(Assumptions!Q$201&gt;Contract_Register!$T$38,MOD(Assumptions!Q$201-Contract_Register!$T$38,Assumptions!$C$90)=0),Contract_Register!$S$38,1)))</f>
        <v>68.3507629658286</v>
      </c>
      <c r="R40" s="67" t="n">
        <f aca="false">IF(R$5="A",Inputs_Actuals!R40,IF(Assumptions!R$201&lt;Contract_Register!$T$38,0,Q40*(1+Contract_Register!$M$38*Assumptions!$F$178)*IF(AND(Assumptions!R$201&gt;Contract_Register!$T$38,MOD(Assumptions!R$201-Contract_Register!$T$38,Assumptions!$C$90)=0),Contract_Register!$S$38,1)))</f>
        <v>68.6241660176919</v>
      </c>
      <c r="S40" s="67" t="n">
        <f aca="false">IF(S$5="A",Inputs_Actuals!S40,IF(Assumptions!S$201&lt;Contract_Register!$T$38,0,R40*(1+Contract_Register!$M$38*Assumptions!$F$178)*IF(AND(Assumptions!S$201&gt;Contract_Register!$T$38,MOD(Assumptions!S$201-Contract_Register!$T$38,Assumptions!$C$90)=0),Contract_Register!$S$38,1)))</f>
        <v>68.8986626817627</v>
      </c>
      <c r="T40" s="67" t="n">
        <f aca="false">IF(T$5="A",Inputs_Actuals!T40,IF(Assumptions!T$201&lt;Contract_Register!$T$38,0,S40*(1+Contract_Register!$M$38*Assumptions!$F$178)*IF(AND(Assumptions!T$201&gt;Contract_Register!$T$38,MOD(Assumptions!T$201-Contract_Register!$T$38,Assumptions!$C$90)=0),Contract_Register!$S$38,1)))</f>
        <v>69.1742573324897</v>
      </c>
      <c r="U40" s="67" t="n">
        <f aca="false">IF(U$5="A",Inputs_Actuals!U40,IF(Assumptions!U$201&lt;Contract_Register!$T$38,0,T40*(1+Contract_Register!$M$38*Assumptions!$F$178)*IF(AND(Assumptions!U$201&gt;Contract_Register!$T$38,MOD(Assumptions!U$201-Contract_Register!$T$38,Assumptions!$C$90)=0),Contract_Register!$S$38,1)))</f>
        <v>69.4509543618197</v>
      </c>
      <c r="V40" s="67" t="n">
        <f aca="false">IF(V$5="A",Inputs_Actuals!V40,IF(Assumptions!V$201&lt;Contract_Register!$T$38,0,U40*(1+Contract_Register!$M$38*Assumptions!$F$178)*IF(AND(Assumptions!V$201&gt;Contract_Register!$T$38,MOD(Assumptions!V$201-Contract_Register!$T$38,Assumptions!$C$90)=0),Contract_Register!$S$38,1)))</f>
        <v>69.728758179267</v>
      </c>
      <c r="W40" s="67" t="n">
        <f aca="false">IF(W$5="A",Inputs_Actuals!W40,IF(Assumptions!W$201&lt;Contract_Register!$T$38,0,V40*(1+Contract_Register!$M$38*Assumptions!$F$178)*IF(AND(Assumptions!W$201&gt;Contract_Register!$T$38,MOD(Assumptions!W$201-Contract_Register!$T$38,Assumptions!$C$90)=0),Contract_Register!$S$38,1)))</f>
        <v>70.007673211984</v>
      </c>
      <c r="X40" s="67" t="n">
        <f aca="false">IF(X$5="A",Inputs_Actuals!X40,IF(Assumptions!X$201&lt;Contract_Register!$T$38,0,W40*(1+Contract_Register!$M$38*Assumptions!$F$178)*IF(AND(Assumptions!X$201&gt;Contract_Register!$T$38,MOD(Assumptions!X$201-Contract_Register!$T$38,Assumptions!$C$90)=0),Contract_Register!$S$38,1)))</f>
        <v>70.287703904832</v>
      </c>
      <c r="Y40" s="67" t="n">
        <f aca="false">IF(Y$5="A",Inputs_Actuals!Y40,IF(Assumptions!Y$201&lt;Contract_Register!$T$38,0,X40*(1+Contract_Register!$M$38*Assumptions!$F$178)*IF(AND(Assumptions!Y$201&gt;Contract_Register!$T$38,MOD(Assumptions!Y$201-Contract_Register!$T$38,Assumptions!$C$90)=0),Contract_Register!$S$38,1)))</f>
        <v>70.5688547204513</v>
      </c>
      <c r="Z40" s="67" t="n">
        <f aca="false">IF(Z$5="A",Inputs_Actuals!Z40,IF(Assumptions!Z$201&lt;Contract_Register!$T$38,0,Y40*(1+Contract_Register!$M$38*Assumptions!$F$178)*IF(AND(Assumptions!Z$201&gt;Contract_Register!$T$38,MOD(Assumptions!Z$201-Contract_Register!$T$38,Assumptions!$C$90)=0),Contract_Register!$S$38,1)))</f>
        <v>70.8511301393331</v>
      </c>
      <c r="AA40" s="67" t="n">
        <f aca="false">IF(AA$5="A",Inputs_Actuals!AA40,IF(Assumptions!AA$201&lt;Contract_Register!$T$38,0,Z40*(1+Contract_Register!$M$38*Assumptions!$F$178)*IF(AND(Assumptions!AA$201&gt;Contract_Register!$T$38,MOD(Assumptions!AA$201-Contract_Register!$T$38,Assumptions!$C$90)=0),Contract_Register!$S$38,1)))</f>
        <v>71.1345346598904</v>
      </c>
      <c r="AB40" s="67" t="n">
        <f aca="false">IF(AB$5="A",Inputs_Actuals!AB40,IF(Assumptions!AB$201&lt;Contract_Register!$T$38,0,AA40*(1+Contract_Register!$M$38*Assumptions!$F$178)*IF(AND(Assumptions!AB$201&gt;Contract_Register!$T$38,MOD(Assumptions!AB$201-Contract_Register!$T$38,Assumptions!$C$90)=0),Contract_Register!$S$38,1)))</f>
        <v>71.41907279853</v>
      </c>
    </row>
    <row r="41" customFormat="false" ht="15" hidden="false" customHeight="false" outlineLevel="0" collapsed="false">
      <c r="A41" s="27" t="s">
        <v>806</v>
      </c>
      <c r="B41" s="63" t="s">
        <v>774</v>
      </c>
      <c r="C41" s="66" t="n">
        <f aca="false">P41</f>
        <v>110.313897780829</v>
      </c>
      <c r="D41" s="66" t="n">
        <f aca="false">AB41</f>
        <v>114.351384265114</v>
      </c>
      <c r="E41" s="67" t="n">
        <f aca="false">IF(E$5="A",Inputs_Actuals!E41,IF(Assumptions!E$201&lt;Contract_Register!$T$39,0,0*(1+Contract_Register!$M$39*Assumptions!$F$178)*IF(AND(Assumptions!E$201&gt;Contract_Register!$T$39,MOD(Assumptions!E$201-Contract_Register!$T$39,Assumptions!$C$90)=0),Contract_Register!$S$39,1)))</f>
        <v>0</v>
      </c>
      <c r="F41" s="67" t="n">
        <f aca="false">IF(F$5="A",Inputs_Actuals!F41,IF(Assumptions!F$201&lt;Contract_Register!$T$39,0,E41*(1+Contract_Register!$M$39*Assumptions!$F$178)*IF(AND(Assumptions!F$201&gt;Contract_Register!$T$39,MOD(Assumptions!F$201-Contract_Register!$T$39,Assumptions!$C$90)=0),Contract_Register!$S$39,1)))</f>
        <v>0</v>
      </c>
      <c r="G41" s="67" t="n">
        <f aca="false">IF(G$5="A",Inputs_Actuals!G41,IF(Assumptions!G$201&lt;Contract_Register!$T$39,0,F41*(1+Contract_Register!$M$39*Assumptions!$F$178)*IF(AND(Assumptions!G$201&gt;Contract_Register!$T$39,MOD(Assumptions!G$201-Contract_Register!$T$39,Assumptions!$C$90)=0),Contract_Register!$S$39,1)))</f>
        <v>0</v>
      </c>
      <c r="H41" s="67" t="n">
        <f aca="false">IF(H$5="A",Inputs_Actuals!H41,IF(Assumptions!H$201&lt;Contract_Register!$T$39,0,G41*(1+Contract_Register!$M$39*Assumptions!$F$178)*IF(AND(Assumptions!H$201&gt;Contract_Register!$T$39,MOD(Assumptions!H$201-Contract_Register!$T$39,Assumptions!$C$90)=0),Contract_Register!$S$39,1)))</f>
        <v>0</v>
      </c>
      <c r="I41" s="67" t="n">
        <f aca="false">IF(I$5="A",Inputs_Actuals!I41,IF(Assumptions!I$201&lt;Contract_Register!$T$39,0,H41*(1+Contract_Register!$M$39*Assumptions!$F$178)*IF(AND(Assumptions!I$201&gt;Contract_Register!$T$39,MOD(Assumptions!I$201-Contract_Register!$T$39,Assumptions!$C$90)=0),Contract_Register!$S$39,1)))</f>
        <v>0</v>
      </c>
      <c r="J41" s="67" t="n">
        <f aca="false">IF(J$5="A",Inputs_Actuals!J41,IF(Assumptions!J$201&lt;Contract_Register!$T$39,0,I41*(1+Contract_Register!$M$39*Assumptions!$F$178)*IF(AND(Assumptions!J$201&gt;Contract_Register!$T$39,MOD(Assumptions!J$201-Contract_Register!$T$39,Assumptions!$C$90)=0),Contract_Register!$S$39,1)))</f>
        <v>0</v>
      </c>
      <c r="K41" s="67" t="n">
        <f aca="false">IF(K$5="A",Inputs_Actuals!K41,IF(Assumptions!K$201&lt;Contract_Register!$T$39,0,J41*(1+Contract_Register!$M$39*Assumptions!$F$178)*IF(AND(Assumptions!K$201&gt;Contract_Register!$T$39,MOD(Assumptions!K$201-Contract_Register!$T$39,Assumptions!$C$90)=0),Contract_Register!$S$39,1)))</f>
        <v>108</v>
      </c>
      <c r="L41" s="67" t="n">
        <f aca="false">IF(L$5="A",Inputs_Actuals!L41,IF(Assumptions!L$201&lt;Contract_Register!$T$39,0,K41*(1+Contract_Register!$M$39*Assumptions!$F$178)*IF(AND(Assumptions!L$201&gt;Contract_Register!$T$39,MOD(Assumptions!L$201-Contract_Register!$T$39,Assumptions!$C$90)=0),Contract_Register!$S$39,1)))</f>
        <v>109</v>
      </c>
      <c r="M41" s="67" t="n">
        <f aca="false">IF(M$5="A",Inputs_Actuals!M41,IF(Assumptions!M$201&lt;Contract_Register!$T$39,0,L41*(1+Contract_Register!$M$39*Assumptions!$F$178)*IF(AND(Assumptions!M$201&gt;Contract_Register!$T$39,MOD(Assumptions!M$201-Contract_Register!$T$39,Assumptions!$C$90)=0),Contract_Register!$S$39,1)))</f>
        <v>109.327</v>
      </c>
      <c r="N41" s="67" t="n">
        <f aca="false">IF(N$5="A",Inputs_Actuals!N41,IF(Assumptions!N$201&lt;Contract_Register!$T$39,0,M41*(1+Contract_Register!$M$39*Assumptions!$F$178)*IF(AND(Assumptions!N$201&gt;Contract_Register!$T$39,MOD(Assumptions!N$201-Contract_Register!$T$39,Assumptions!$C$90)=0),Contract_Register!$S$39,1)))</f>
        <v>109.654981</v>
      </c>
      <c r="O41" s="67" t="n">
        <f aca="false">IF(O$5="A",Inputs_Actuals!O41,IF(Assumptions!O$201&lt;Contract_Register!$T$39,0,N41*(1+Contract_Register!$M$39*Assumptions!$F$178)*IF(AND(Assumptions!O$201&gt;Contract_Register!$T$39,MOD(Assumptions!O$201-Contract_Register!$T$39,Assumptions!$C$90)=0),Contract_Register!$S$39,1)))</f>
        <v>109.983945943</v>
      </c>
      <c r="P41" s="67" t="n">
        <f aca="false">IF(P$5="A",Inputs_Actuals!P41,IF(Assumptions!P$201&lt;Contract_Register!$T$39,0,O41*(1+Contract_Register!$M$39*Assumptions!$F$178)*IF(AND(Assumptions!P$201&gt;Contract_Register!$T$39,MOD(Assumptions!P$201-Contract_Register!$T$39,Assumptions!$C$90)=0),Contract_Register!$S$39,1)))</f>
        <v>110.313897780829</v>
      </c>
      <c r="Q41" s="67" t="n">
        <f aca="false">IF(Q$5="A",Inputs_Actuals!Q41,IF(Assumptions!Q$201&lt;Contract_Register!$T$39,0,P41*(1+Contract_Register!$M$39*Assumptions!$F$178)*IF(AND(Assumptions!Q$201&gt;Contract_Register!$T$39,MOD(Assumptions!Q$201-Contract_Register!$T$39,Assumptions!$C$90)=0),Contract_Register!$S$39,1)))</f>
        <v>110.644839474171</v>
      </c>
      <c r="R41" s="67" t="n">
        <f aca="false">IF(R$5="A",Inputs_Actuals!R41,IF(Assumptions!R$201&lt;Contract_Register!$T$39,0,Q41*(1+Contract_Register!$M$39*Assumptions!$F$178)*IF(AND(Assumptions!R$201&gt;Contract_Register!$T$39,MOD(Assumptions!R$201-Contract_Register!$T$39,Assumptions!$C$90)=0),Contract_Register!$S$39,1)))</f>
        <v>110.976773992594</v>
      </c>
      <c r="S41" s="67" t="n">
        <f aca="false">IF(S$5="A",Inputs_Actuals!S41,IF(Assumptions!S$201&lt;Contract_Register!$T$39,0,R41*(1+Contract_Register!$M$39*Assumptions!$F$178)*IF(AND(Assumptions!S$201&gt;Contract_Register!$T$39,MOD(Assumptions!S$201-Contract_Register!$T$39,Assumptions!$C$90)=0),Contract_Register!$S$39,1)))</f>
        <v>111.309704314572</v>
      </c>
      <c r="T41" s="67" t="n">
        <f aca="false">IF(T$5="A",Inputs_Actuals!T41,IF(Assumptions!T$201&lt;Contract_Register!$T$39,0,S41*(1+Contract_Register!$M$39*Assumptions!$F$178)*IF(AND(Assumptions!T$201&gt;Contract_Register!$T$39,MOD(Assumptions!T$201-Contract_Register!$T$39,Assumptions!$C$90)=0),Contract_Register!$S$39,1)))</f>
        <v>111.643633427515</v>
      </c>
      <c r="U41" s="67" t="n">
        <f aca="false">IF(U$5="A",Inputs_Actuals!U41,IF(Assumptions!U$201&lt;Contract_Register!$T$39,0,T41*(1+Contract_Register!$M$39*Assumptions!$F$178)*IF(AND(Assumptions!U$201&gt;Contract_Register!$T$39,MOD(Assumptions!U$201-Contract_Register!$T$39,Assumptions!$C$90)=0),Contract_Register!$S$39,1)))</f>
        <v>111.978564327798</v>
      </c>
      <c r="V41" s="67" t="n">
        <f aca="false">IF(V$5="A",Inputs_Actuals!V41,IF(Assumptions!V$201&lt;Contract_Register!$T$39,0,U41*(1+Contract_Register!$M$39*Assumptions!$F$178)*IF(AND(Assumptions!V$201&gt;Contract_Register!$T$39,MOD(Assumptions!V$201-Contract_Register!$T$39,Assumptions!$C$90)=0),Contract_Register!$S$39,1)))</f>
        <v>112.314500020781</v>
      </c>
      <c r="W41" s="67" t="n">
        <f aca="false">IF(W$5="A",Inputs_Actuals!W41,IF(Assumptions!W$201&lt;Contract_Register!$T$39,0,V41*(1+Contract_Register!$M$39*Assumptions!$F$178)*IF(AND(Assumptions!W$201&gt;Contract_Register!$T$39,MOD(Assumptions!W$201-Contract_Register!$T$39,Assumptions!$C$90)=0),Contract_Register!$S$39,1)))</f>
        <v>112.651443520844</v>
      </c>
      <c r="X41" s="67" t="n">
        <f aca="false">IF(X$5="A",Inputs_Actuals!X41,IF(Assumptions!X$201&lt;Contract_Register!$T$39,0,W41*(1+Contract_Register!$M$39*Assumptions!$F$178)*IF(AND(Assumptions!X$201&gt;Contract_Register!$T$39,MOD(Assumptions!X$201-Contract_Register!$T$39,Assumptions!$C$90)=0),Contract_Register!$S$39,1)))</f>
        <v>112.989397851406</v>
      </c>
      <c r="Y41" s="67" t="n">
        <f aca="false">IF(Y$5="A",Inputs_Actuals!Y41,IF(Assumptions!Y$201&lt;Contract_Register!$T$39,0,X41*(1+Contract_Register!$M$39*Assumptions!$F$178)*IF(AND(Assumptions!Y$201&gt;Contract_Register!$T$39,MOD(Assumptions!Y$201-Contract_Register!$T$39,Assumptions!$C$90)=0),Contract_Register!$S$39,1)))</f>
        <v>113.32836604496</v>
      </c>
      <c r="Z41" s="67" t="n">
        <f aca="false">IF(Z$5="A",Inputs_Actuals!Z41,IF(Assumptions!Z$201&lt;Contract_Register!$T$39,0,Y41*(1+Contract_Register!$M$39*Assumptions!$F$178)*IF(AND(Assumptions!Z$201&gt;Contract_Register!$T$39,MOD(Assumptions!Z$201-Contract_Register!$T$39,Assumptions!$C$90)=0),Contract_Register!$S$39,1)))</f>
        <v>113.668351143095</v>
      </c>
      <c r="AA41" s="67" t="n">
        <f aca="false">IF(AA$5="A",Inputs_Actuals!AA41,IF(Assumptions!AA$201&lt;Contract_Register!$T$39,0,Z41*(1+Contract_Register!$M$39*Assumptions!$F$178)*IF(AND(Assumptions!AA$201&gt;Contract_Register!$T$39,MOD(Assumptions!AA$201-Contract_Register!$T$39,Assumptions!$C$90)=0),Contract_Register!$S$39,1)))</f>
        <v>114.009356196525</v>
      </c>
      <c r="AB41" s="67" t="n">
        <f aca="false">IF(AB$5="A",Inputs_Actuals!AB41,IF(Assumptions!AB$201&lt;Contract_Register!$T$39,0,AA41*(1+Contract_Register!$M$39*Assumptions!$F$178)*IF(AND(Assumptions!AB$201&gt;Contract_Register!$T$39,MOD(Assumptions!AB$201-Contract_Register!$T$39,Assumptions!$C$90)=0),Contract_Register!$S$39,1)))</f>
        <v>114.351384265114</v>
      </c>
    </row>
    <row r="42" customFormat="false" ht="15" hidden="false" customHeight="false" outlineLevel="0" collapsed="false">
      <c r="A42" s="27" t="s">
        <v>807</v>
      </c>
      <c r="B42" s="63" t="s">
        <v>808</v>
      </c>
      <c r="C42" s="66" t="n">
        <f aca="false">P42</f>
        <v>264.792</v>
      </c>
      <c r="D42" s="66" t="n">
        <f aca="false">AB42</f>
        <v>274.483381980454</v>
      </c>
      <c r="E42" s="67" t="n">
        <f aca="false">IF(Assumptions!E$201&lt;Contract_Register!$T$40,0,IF(Assumptions!E$201=Contract_Register!$T$40,Contract_Register!$I$40*Contract_Register!$S$40,0*(1+Contract_Register!$M$40*Assumptions!$F$178)))</f>
        <v>0</v>
      </c>
      <c r="F42" s="67" t="n">
        <f aca="false">IF(Assumptions!F$201&lt;Contract_Register!$T$40,0,IF(Assumptions!F$201=Contract_Register!$T$40,Contract_Register!$I$40*Contract_Register!$S$40,E42*(1+Contract_Register!$M$40*Assumptions!$F$178)))</f>
        <v>0</v>
      </c>
      <c r="G42" s="67" t="n">
        <f aca="false">IF(Assumptions!G$201&lt;Contract_Register!$T$40,0,IF(Assumptions!G$201=Contract_Register!$T$40,Contract_Register!$I$40*Contract_Register!$S$40,F42*(1+Contract_Register!$M$40*Assumptions!$F$178)))</f>
        <v>0</v>
      </c>
      <c r="H42" s="67" t="n">
        <f aca="false">IF(Assumptions!H$201&lt;Contract_Register!$T$40,0,IF(Assumptions!H$201=Contract_Register!$T$40,Contract_Register!$I$40*Contract_Register!$S$40,G42*(1+Contract_Register!$M$40*Assumptions!$F$178)))</f>
        <v>0</v>
      </c>
      <c r="I42" s="67" t="n">
        <f aca="false">IF(Assumptions!I$201&lt;Contract_Register!$T$40,0,IF(Assumptions!I$201=Contract_Register!$T$40,Contract_Register!$I$40*Contract_Register!$S$40,H42*(1+Contract_Register!$M$40*Assumptions!$F$178)))</f>
        <v>0</v>
      </c>
      <c r="J42" s="67" t="n">
        <f aca="false">IF(Assumptions!J$201&lt;Contract_Register!$T$40,0,IF(Assumptions!J$201=Contract_Register!$T$40,Contract_Register!$I$40*Contract_Register!$S$40,I42*(1+Contract_Register!$M$40*Assumptions!$F$178)))</f>
        <v>0</v>
      </c>
      <c r="K42" s="67" t="n">
        <f aca="false">IF(Assumptions!K$201&lt;Contract_Register!$T$40,0,IF(Assumptions!K$201=Contract_Register!$T$40,Contract_Register!$I$40*Contract_Register!$S$40,J42*(1+Contract_Register!$M$40*Assumptions!$F$178)))</f>
        <v>0</v>
      </c>
      <c r="L42" s="67" t="n">
        <f aca="false">IF(Assumptions!L$201&lt;Contract_Register!$T$40,0,IF(Assumptions!L$201=Contract_Register!$T$40,Contract_Register!$I$40*Contract_Register!$S$40,K42*(1+Contract_Register!$M$40*Assumptions!$F$178)))</f>
        <v>0</v>
      </c>
      <c r="M42" s="67" t="n">
        <f aca="false">IF(Assumptions!M$201&lt;Contract_Register!$T$40,0,IF(Assumptions!M$201=Contract_Register!$T$40,Contract_Register!$I$40*Contract_Register!$S$40,L42*(1+Contract_Register!$M$40*Assumptions!$F$178)))</f>
        <v>0</v>
      </c>
      <c r="N42" s="67" t="n">
        <f aca="false">IF(Assumptions!N$201&lt;Contract_Register!$T$40,0,IF(Assumptions!N$201=Contract_Register!$T$40,Contract_Register!$I$40*Contract_Register!$S$40,M42*(1+Contract_Register!$M$40*Assumptions!$F$178)))</f>
        <v>0</v>
      </c>
      <c r="O42" s="67" t="n">
        <f aca="false">IF(Assumptions!O$201&lt;Contract_Register!$T$40,0,IF(Assumptions!O$201=Contract_Register!$T$40,Contract_Register!$I$40*Contract_Register!$S$40,N42*(1+Contract_Register!$M$40*Assumptions!$F$178)))</f>
        <v>264</v>
      </c>
      <c r="P42" s="67" t="n">
        <f aca="false">IF(Assumptions!P$201&lt;Contract_Register!$T$40,0,IF(Assumptions!P$201=Contract_Register!$T$40,Contract_Register!$I$40*Contract_Register!$S$40,O42*(1+Contract_Register!$M$40*Assumptions!$F$178)))</f>
        <v>264.792</v>
      </c>
      <c r="Q42" s="67" t="n">
        <f aca="false">IF(Assumptions!Q$201&lt;Contract_Register!$T$40,0,IF(Assumptions!Q$201=Contract_Register!$T$40,Contract_Register!$I$40*Contract_Register!$S$40,P42*(1+Contract_Register!$M$40*Assumptions!$F$178)))</f>
        <v>265.586376</v>
      </c>
      <c r="R42" s="67" t="n">
        <f aca="false">IF(Assumptions!R$201&lt;Contract_Register!$T$40,0,IF(Assumptions!R$201=Contract_Register!$T$40,Contract_Register!$I$40*Contract_Register!$S$40,Q42*(1+Contract_Register!$M$40*Assumptions!$F$178)))</f>
        <v>266.383135128</v>
      </c>
      <c r="S42" s="67" t="n">
        <f aca="false">IF(Assumptions!S$201&lt;Contract_Register!$T$40,0,IF(Assumptions!S$201=Contract_Register!$T$40,Contract_Register!$I$40*Contract_Register!$S$40,R42*(1+Contract_Register!$M$40*Assumptions!$F$178)))</f>
        <v>267.182284533384</v>
      </c>
      <c r="T42" s="67" t="n">
        <f aca="false">IF(Assumptions!T$201&lt;Contract_Register!$T$40,0,IF(Assumptions!T$201=Contract_Register!$T$40,Contract_Register!$I$40*Contract_Register!$S$40,S42*(1+Contract_Register!$M$40*Assumptions!$F$178)))</f>
        <v>267.983831386984</v>
      </c>
      <c r="U42" s="67" t="n">
        <f aca="false">IF(Assumptions!U$201&lt;Contract_Register!$T$40,0,IF(Assumptions!U$201=Contract_Register!$T$40,Contract_Register!$I$40*Contract_Register!$S$40,T42*(1+Contract_Register!$M$40*Assumptions!$F$178)))</f>
        <v>268.787782881145</v>
      </c>
      <c r="V42" s="67" t="n">
        <f aca="false">IF(Assumptions!V$201&lt;Contract_Register!$T$40,0,IF(Assumptions!V$201=Contract_Register!$T$40,Contract_Register!$I$40*Contract_Register!$S$40,U42*(1+Contract_Register!$M$40*Assumptions!$F$178)))</f>
        <v>269.594146229788</v>
      </c>
      <c r="W42" s="67" t="n">
        <f aca="false">IF(Assumptions!W$201&lt;Contract_Register!$T$40,0,IF(Assumptions!W$201=Contract_Register!$T$40,Contract_Register!$I$40*Contract_Register!$S$40,V42*(1+Contract_Register!$M$40*Assumptions!$F$178)))</f>
        <v>270.402928668478</v>
      </c>
      <c r="X42" s="67" t="n">
        <f aca="false">IF(Assumptions!X$201&lt;Contract_Register!$T$40,0,IF(Assumptions!X$201=Contract_Register!$T$40,Contract_Register!$I$40*Contract_Register!$S$40,W42*(1+Contract_Register!$M$40*Assumptions!$F$178)))</f>
        <v>271.214137454483</v>
      </c>
      <c r="Y42" s="67" t="n">
        <f aca="false">IF(Assumptions!Y$201&lt;Contract_Register!$T$40,0,IF(Assumptions!Y$201=Contract_Register!$T$40,Contract_Register!$I$40*Contract_Register!$S$40,X42*(1+Contract_Register!$M$40*Assumptions!$F$178)))</f>
        <v>272.027779866846</v>
      </c>
      <c r="Z42" s="67" t="n">
        <f aca="false">IF(Assumptions!Z$201&lt;Contract_Register!$T$40,0,IF(Assumptions!Z$201=Contract_Register!$T$40,Contract_Register!$I$40*Contract_Register!$S$40,Y42*(1+Contract_Register!$M$40*Assumptions!$F$178)))</f>
        <v>272.843863206447</v>
      </c>
      <c r="AA42" s="67" t="n">
        <f aca="false">IF(Assumptions!AA$201&lt;Contract_Register!$T$40,0,IF(Assumptions!AA$201=Contract_Register!$T$40,Contract_Register!$I$40*Contract_Register!$S$40,Z42*(1+Contract_Register!$M$40*Assumptions!$F$178)))</f>
        <v>273.662394796066</v>
      </c>
      <c r="AB42" s="67" t="n">
        <f aca="false">IF(Assumptions!AB$201&lt;Contract_Register!$T$40,0,IF(Assumptions!AB$201=Contract_Register!$T$40,Contract_Register!$I$40*Contract_Register!$S$40,AA42*(1+Contract_Register!$M$40*Assumptions!$F$178)))</f>
        <v>274.483381980454</v>
      </c>
    </row>
    <row r="43" customFormat="false" ht="15" hidden="false" customHeight="false" outlineLevel="0" collapsed="false">
      <c r="A43" s="27" t="s">
        <v>809</v>
      </c>
      <c r="B43" s="63" t="s">
        <v>808</v>
      </c>
      <c r="C43" s="66" t="n">
        <f aca="false">P43</f>
        <v>0</v>
      </c>
      <c r="D43" s="66" t="n">
        <f aca="false">AB43</f>
        <v>62.0099689105561</v>
      </c>
      <c r="E43" s="67" t="n">
        <f aca="false">IF(Assumptions!E$201&lt;Contract_Register!$T$41,0,IF(Assumptions!E$201=Contract_Register!$T$41,Contract_Register!$I$41*Contract_Register!$S$41,0*(1+Contract_Register!$M$41*Assumptions!$F$178)))</f>
        <v>0</v>
      </c>
      <c r="F43" s="67" t="n">
        <f aca="false">IF(Assumptions!F$201&lt;Contract_Register!$T$41,0,IF(Assumptions!F$201=Contract_Register!$T$41,Contract_Register!$I$41*Contract_Register!$S$41,E43*(1+Contract_Register!$M$41*Assumptions!$F$178)))</f>
        <v>0</v>
      </c>
      <c r="G43" s="67" t="n">
        <f aca="false">IF(Assumptions!G$201&lt;Contract_Register!$T$41,0,IF(Assumptions!G$201=Contract_Register!$T$41,Contract_Register!$I$41*Contract_Register!$S$41,F43*(1+Contract_Register!$M$41*Assumptions!$F$178)))</f>
        <v>0</v>
      </c>
      <c r="H43" s="67" t="n">
        <f aca="false">IF(Assumptions!H$201&lt;Contract_Register!$T$41,0,IF(Assumptions!H$201=Contract_Register!$T$41,Contract_Register!$I$41*Contract_Register!$S$41,G43*(1+Contract_Register!$M$41*Assumptions!$F$178)))</f>
        <v>0</v>
      </c>
      <c r="I43" s="67" t="n">
        <f aca="false">IF(Assumptions!I$201&lt;Contract_Register!$T$41,0,IF(Assumptions!I$201=Contract_Register!$T$41,Contract_Register!$I$41*Contract_Register!$S$41,H43*(1+Contract_Register!$M$41*Assumptions!$F$178)))</f>
        <v>0</v>
      </c>
      <c r="J43" s="67" t="n">
        <f aca="false">IF(Assumptions!J$201&lt;Contract_Register!$T$41,0,IF(Assumptions!J$201=Contract_Register!$T$41,Contract_Register!$I$41*Contract_Register!$S$41,I43*(1+Contract_Register!$M$41*Assumptions!$F$178)))</f>
        <v>0</v>
      </c>
      <c r="K43" s="67" t="n">
        <f aca="false">IF(Assumptions!K$201&lt;Contract_Register!$T$41,0,IF(Assumptions!K$201=Contract_Register!$T$41,Contract_Register!$I$41*Contract_Register!$S$41,J43*(1+Contract_Register!$M$41*Assumptions!$F$178)))</f>
        <v>0</v>
      </c>
      <c r="L43" s="67" t="n">
        <f aca="false">IF(Assumptions!L$201&lt;Contract_Register!$T$41,0,IF(Assumptions!L$201=Contract_Register!$T$41,Contract_Register!$I$41*Contract_Register!$S$41,K43*(1+Contract_Register!$M$41*Assumptions!$F$178)))</f>
        <v>0</v>
      </c>
      <c r="M43" s="67" t="n">
        <f aca="false">IF(Assumptions!M$201&lt;Contract_Register!$T$41,0,IF(Assumptions!M$201=Contract_Register!$T$41,Contract_Register!$I$41*Contract_Register!$S$41,L43*(1+Contract_Register!$M$41*Assumptions!$F$178)))</f>
        <v>0</v>
      </c>
      <c r="N43" s="67" t="n">
        <f aca="false">IF(Assumptions!N$201&lt;Contract_Register!$T$41,0,IF(Assumptions!N$201=Contract_Register!$T$41,Contract_Register!$I$41*Contract_Register!$S$41,M43*(1+Contract_Register!$M$41*Assumptions!$F$178)))</f>
        <v>0</v>
      </c>
      <c r="O43" s="67" t="n">
        <f aca="false">IF(Assumptions!O$201&lt;Contract_Register!$T$41,0,IF(Assumptions!O$201=Contract_Register!$T$41,Contract_Register!$I$41*Contract_Register!$S$41,N43*(1+Contract_Register!$M$41*Assumptions!$F$178)))</f>
        <v>0</v>
      </c>
      <c r="P43" s="67" t="n">
        <f aca="false">IF(Assumptions!P$201&lt;Contract_Register!$T$41,0,IF(Assumptions!P$201=Contract_Register!$T$41,Contract_Register!$I$41*Contract_Register!$S$41,O43*(1+Contract_Register!$M$41*Assumptions!$F$178)))</f>
        <v>0</v>
      </c>
      <c r="Q43" s="67" t="n">
        <f aca="false">IF(Assumptions!Q$201&lt;Contract_Register!$T$41,0,IF(Assumptions!Q$201=Contract_Register!$T$41,Contract_Register!$I$41*Contract_Register!$S$41,P43*(1+Contract_Register!$M$41*Assumptions!$F$178)))</f>
        <v>60</v>
      </c>
      <c r="R43" s="67" t="n">
        <f aca="false">IF(Assumptions!R$201&lt;Contract_Register!$T$41,0,IF(Assumptions!R$201=Contract_Register!$T$41,Contract_Register!$I$41*Contract_Register!$S$41,Q43*(1+Contract_Register!$M$41*Assumptions!$F$178)))</f>
        <v>60.18</v>
      </c>
      <c r="S43" s="67" t="n">
        <f aca="false">IF(Assumptions!S$201&lt;Contract_Register!$T$41,0,IF(Assumptions!S$201=Contract_Register!$T$41,Contract_Register!$I$41*Contract_Register!$S$41,R43*(1+Contract_Register!$M$41*Assumptions!$F$178)))</f>
        <v>60.36054</v>
      </c>
      <c r="T43" s="67" t="n">
        <f aca="false">IF(Assumptions!T$201&lt;Contract_Register!$T$41,0,IF(Assumptions!T$201=Contract_Register!$T$41,Contract_Register!$I$41*Contract_Register!$S$41,S43*(1+Contract_Register!$M$41*Assumptions!$F$178)))</f>
        <v>60.54162162</v>
      </c>
      <c r="U43" s="67" t="n">
        <f aca="false">IF(Assumptions!U$201&lt;Contract_Register!$T$41,0,IF(Assumptions!U$201=Contract_Register!$T$41,Contract_Register!$I$41*Contract_Register!$S$41,T43*(1+Contract_Register!$M$41*Assumptions!$F$178)))</f>
        <v>60.72324648486</v>
      </c>
      <c r="V43" s="67" t="n">
        <f aca="false">IF(Assumptions!V$201&lt;Contract_Register!$T$41,0,IF(Assumptions!V$201=Contract_Register!$T$41,Contract_Register!$I$41*Contract_Register!$S$41,U43*(1+Contract_Register!$M$41*Assumptions!$F$178)))</f>
        <v>60.9054162243145</v>
      </c>
      <c r="W43" s="67" t="n">
        <f aca="false">IF(Assumptions!W$201&lt;Contract_Register!$T$41,0,IF(Assumptions!W$201=Contract_Register!$T$41,Contract_Register!$I$41*Contract_Register!$S$41,V43*(1+Contract_Register!$M$41*Assumptions!$F$178)))</f>
        <v>61.0881324729875</v>
      </c>
      <c r="X43" s="67" t="n">
        <f aca="false">IF(Assumptions!X$201&lt;Contract_Register!$T$41,0,IF(Assumptions!X$201=Contract_Register!$T$41,Contract_Register!$I$41*Contract_Register!$S$41,W43*(1+Contract_Register!$M$41*Assumptions!$F$178)))</f>
        <v>61.2713968704064</v>
      </c>
      <c r="Y43" s="67" t="n">
        <f aca="false">IF(Assumptions!Y$201&lt;Contract_Register!$T$41,0,IF(Assumptions!Y$201=Contract_Register!$T$41,Contract_Register!$I$41*Contract_Register!$S$41,X43*(1+Contract_Register!$M$41*Assumptions!$F$178)))</f>
        <v>61.4552110610177</v>
      </c>
      <c r="Z43" s="67" t="n">
        <f aca="false">IF(Assumptions!Z$201&lt;Contract_Register!$T$41,0,IF(Assumptions!Z$201=Contract_Register!$T$41,Contract_Register!$I$41*Contract_Register!$S$41,Y43*(1+Contract_Register!$M$41*Assumptions!$F$178)))</f>
        <v>61.6395766942007</v>
      </c>
      <c r="AA43" s="67" t="n">
        <f aca="false">IF(Assumptions!AA$201&lt;Contract_Register!$T$41,0,IF(Assumptions!AA$201=Contract_Register!$T$41,Contract_Register!$I$41*Contract_Register!$S$41,Z43*(1+Contract_Register!$M$41*Assumptions!$F$178)))</f>
        <v>61.8244954242833</v>
      </c>
      <c r="AB43" s="67" t="n">
        <f aca="false">IF(Assumptions!AB$201&lt;Contract_Register!$T$41,0,IF(Assumptions!AB$201=Contract_Register!$T$41,Contract_Register!$I$41*Contract_Register!$S$41,AA43*(1+Contract_Register!$M$41*Assumptions!$F$178)))</f>
        <v>62.0099689105561</v>
      </c>
    </row>
    <row r="44" customFormat="false" ht="15" hidden="false" customHeight="false" outlineLevel="0" collapsed="false">
      <c r="A44" s="27" t="s">
        <v>810</v>
      </c>
      <c r="B44" s="63" t="s">
        <v>808</v>
      </c>
      <c r="C44" s="66" t="n">
        <f aca="false">P44</f>
        <v>0</v>
      </c>
      <c r="D44" s="66" t="n">
        <f aca="false">AB44</f>
        <v>64.2714006921889</v>
      </c>
      <c r="E44" s="67" t="n">
        <f aca="false">IF(Assumptions!E$201&lt;Contract_Register!$T$42,0,IF(Assumptions!E$201=Contract_Register!$T$42,Contract_Register!$I$42*Contract_Register!$S$42,0*(1+Contract_Register!$M$42*Assumptions!$F$178)))</f>
        <v>0</v>
      </c>
      <c r="F44" s="67" t="n">
        <f aca="false">IF(Assumptions!F$201&lt;Contract_Register!$T$42,0,IF(Assumptions!F$201=Contract_Register!$T$42,Contract_Register!$I$42*Contract_Register!$S$42,E44*(1+Contract_Register!$M$42*Assumptions!$F$178)))</f>
        <v>0</v>
      </c>
      <c r="G44" s="67" t="n">
        <f aca="false">IF(Assumptions!G$201&lt;Contract_Register!$T$42,0,IF(Assumptions!G$201=Contract_Register!$T$42,Contract_Register!$I$42*Contract_Register!$S$42,F44*(1+Contract_Register!$M$42*Assumptions!$F$178)))</f>
        <v>0</v>
      </c>
      <c r="H44" s="67" t="n">
        <f aca="false">IF(Assumptions!H$201&lt;Contract_Register!$T$42,0,IF(Assumptions!H$201=Contract_Register!$T$42,Contract_Register!$I$42*Contract_Register!$S$42,G44*(1+Contract_Register!$M$42*Assumptions!$F$178)))</f>
        <v>0</v>
      </c>
      <c r="I44" s="67" t="n">
        <f aca="false">IF(Assumptions!I$201&lt;Contract_Register!$T$42,0,IF(Assumptions!I$201=Contract_Register!$T$42,Contract_Register!$I$42*Contract_Register!$S$42,H44*(1+Contract_Register!$M$42*Assumptions!$F$178)))</f>
        <v>0</v>
      </c>
      <c r="J44" s="67" t="n">
        <f aca="false">IF(Assumptions!J$201&lt;Contract_Register!$T$42,0,IF(Assumptions!J$201=Contract_Register!$T$42,Contract_Register!$I$42*Contract_Register!$S$42,I44*(1+Contract_Register!$M$42*Assumptions!$F$178)))</f>
        <v>0</v>
      </c>
      <c r="K44" s="67" t="n">
        <f aca="false">IF(Assumptions!K$201&lt;Contract_Register!$T$42,0,IF(Assumptions!K$201=Contract_Register!$T$42,Contract_Register!$I$42*Contract_Register!$S$42,J44*(1+Contract_Register!$M$42*Assumptions!$F$178)))</f>
        <v>0</v>
      </c>
      <c r="L44" s="67" t="n">
        <f aca="false">IF(Assumptions!L$201&lt;Contract_Register!$T$42,0,IF(Assumptions!L$201=Contract_Register!$T$42,Contract_Register!$I$42*Contract_Register!$S$42,K44*(1+Contract_Register!$M$42*Assumptions!$F$178)))</f>
        <v>0</v>
      </c>
      <c r="M44" s="67" t="n">
        <f aca="false">IF(Assumptions!M$201&lt;Contract_Register!$T$42,0,IF(Assumptions!M$201=Contract_Register!$T$42,Contract_Register!$I$42*Contract_Register!$S$42,L44*(1+Contract_Register!$M$42*Assumptions!$F$178)))</f>
        <v>0</v>
      </c>
      <c r="N44" s="67" t="n">
        <f aca="false">IF(Assumptions!N$201&lt;Contract_Register!$T$42,0,IF(Assumptions!N$201=Contract_Register!$T$42,Contract_Register!$I$42*Contract_Register!$S$42,M44*(1+Contract_Register!$M$42*Assumptions!$F$178)))</f>
        <v>0</v>
      </c>
      <c r="O44" s="67" t="n">
        <f aca="false">IF(Assumptions!O$201&lt;Contract_Register!$T$42,0,IF(Assumptions!O$201=Contract_Register!$T$42,Contract_Register!$I$42*Contract_Register!$S$42,N44*(1+Contract_Register!$M$42*Assumptions!$F$178)))</f>
        <v>0</v>
      </c>
      <c r="P44" s="67" t="n">
        <f aca="false">IF(Assumptions!P$201&lt;Contract_Register!$T$42,0,IF(Assumptions!P$201=Contract_Register!$T$42,Contract_Register!$I$42*Contract_Register!$S$42,O44*(1+Contract_Register!$M$42*Assumptions!$F$178)))</f>
        <v>0</v>
      </c>
      <c r="Q44" s="67" t="n">
        <f aca="false">IF(Assumptions!Q$201&lt;Contract_Register!$T$42,0,IF(Assumptions!Q$201=Contract_Register!$T$42,Contract_Register!$I$42*Contract_Register!$S$42,P44*(1+Contract_Register!$M$42*Assumptions!$F$178)))</f>
        <v>0</v>
      </c>
      <c r="R44" s="67" t="n">
        <f aca="false">IF(Assumptions!R$201&lt;Contract_Register!$T$42,0,IF(Assumptions!R$201=Contract_Register!$T$42,Contract_Register!$I$42*Contract_Register!$S$42,Q44*(1+Contract_Register!$M$42*Assumptions!$F$178)))</f>
        <v>63</v>
      </c>
      <c r="S44" s="67" t="n">
        <f aca="false">IF(Assumptions!S$201&lt;Contract_Register!$T$42,0,IF(Assumptions!S$201=Contract_Register!$T$42,Contract_Register!$I$42*Contract_Register!$S$42,R44*(1+Contract_Register!$M$42*Assumptions!$F$178)))</f>
        <v>63.126</v>
      </c>
      <c r="T44" s="67" t="n">
        <f aca="false">IF(Assumptions!T$201&lt;Contract_Register!$T$42,0,IF(Assumptions!T$201=Contract_Register!$T$42,Contract_Register!$I$42*Contract_Register!$S$42,S44*(1+Contract_Register!$M$42*Assumptions!$F$178)))</f>
        <v>63.252252</v>
      </c>
      <c r="U44" s="67" t="n">
        <f aca="false">IF(Assumptions!U$201&lt;Contract_Register!$T$42,0,IF(Assumptions!U$201=Contract_Register!$T$42,Contract_Register!$I$42*Contract_Register!$S$42,T44*(1+Contract_Register!$M$42*Assumptions!$F$178)))</f>
        <v>63.378756504</v>
      </c>
      <c r="V44" s="67" t="n">
        <f aca="false">IF(Assumptions!V$201&lt;Contract_Register!$T$42,0,IF(Assumptions!V$201=Contract_Register!$T$42,Contract_Register!$I$42*Contract_Register!$S$42,U44*(1+Contract_Register!$M$42*Assumptions!$F$178)))</f>
        <v>63.505514017008</v>
      </c>
      <c r="W44" s="67" t="n">
        <f aca="false">IF(Assumptions!W$201&lt;Contract_Register!$T$42,0,IF(Assumptions!W$201=Contract_Register!$T$42,Contract_Register!$I$42*Contract_Register!$S$42,V44*(1+Contract_Register!$M$42*Assumptions!$F$178)))</f>
        <v>63.632525045042</v>
      </c>
      <c r="X44" s="67" t="n">
        <f aca="false">IF(Assumptions!X$201&lt;Contract_Register!$T$42,0,IF(Assumptions!X$201=Contract_Register!$T$42,Contract_Register!$I$42*Contract_Register!$S$42,W44*(1+Contract_Register!$M$42*Assumptions!$F$178)))</f>
        <v>63.7597900951321</v>
      </c>
      <c r="Y44" s="67" t="n">
        <f aca="false">IF(Assumptions!Y$201&lt;Contract_Register!$T$42,0,IF(Assumptions!Y$201=Contract_Register!$T$42,Contract_Register!$I$42*Contract_Register!$S$42,X44*(1+Contract_Register!$M$42*Assumptions!$F$178)))</f>
        <v>63.8873096753224</v>
      </c>
      <c r="Z44" s="67" t="n">
        <f aca="false">IF(Assumptions!Z$201&lt;Contract_Register!$T$42,0,IF(Assumptions!Z$201=Contract_Register!$T$42,Contract_Register!$I$42*Contract_Register!$S$42,Y44*(1+Contract_Register!$M$42*Assumptions!$F$178)))</f>
        <v>64.015084294673</v>
      </c>
      <c r="AA44" s="67" t="n">
        <f aca="false">IF(Assumptions!AA$201&lt;Contract_Register!$T$42,0,IF(Assumptions!AA$201=Contract_Register!$T$42,Contract_Register!$I$42*Contract_Register!$S$42,Z44*(1+Contract_Register!$M$42*Assumptions!$F$178)))</f>
        <v>64.1431144632624</v>
      </c>
      <c r="AB44" s="67" t="n">
        <f aca="false">IF(Assumptions!AB$201&lt;Contract_Register!$T$42,0,IF(Assumptions!AB$201=Contract_Register!$T$42,Contract_Register!$I$42*Contract_Register!$S$42,AA44*(1+Contract_Register!$M$42*Assumptions!$F$178)))</f>
        <v>64.2714006921889</v>
      </c>
    </row>
    <row r="45" customFormat="false" ht="15" hidden="false" customHeight="false" outlineLevel="0" collapsed="false">
      <c r="A45" s="27" t="s">
        <v>811</v>
      </c>
      <c r="B45" s="63" t="s">
        <v>808</v>
      </c>
      <c r="C45" s="66" t="n">
        <f aca="false">P45</f>
        <v>0</v>
      </c>
      <c r="D45" s="66" t="n">
        <f aca="false">AB45</f>
        <v>40.6444979648717</v>
      </c>
      <c r="E45" s="67" t="n">
        <f aca="false">IF(Assumptions!E$201&lt;Contract_Register!$T$43,0,IF(Assumptions!E$201=Contract_Register!$T$43,Contract_Register!$I$43*Contract_Register!$S$43,0*(1+Contract_Register!$M$43*Assumptions!$F$178)))</f>
        <v>0</v>
      </c>
      <c r="F45" s="67" t="n">
        <f aca="false">IF(Assumptions!F$201&lt;Contract_Register!$T$43,0,IF(Assumptions!F$201=Contract_Register!$T$43,Contract_Register!$I$43*Contract_Register!$S$43,E45*(1+Contract_Register!$M$43*Assumptions!$F$178)))</f>
        <v>0</v>
      </c>
      <c r="G45" s="67" t="n">
        <f aca="false">IF(Assumptions!G$201&lt;Contract_Register!$T$43,0,IF(Assumptions!G$201=Contract_Register!$T$43,Contract_Register!$I$43*Contract_Register!$S$43,F45*(1+Contract_Register!$M$43*Assumptions!$F$178)))</f>
        <v>0</v>
      </c>
      <c r="H45" s="67" t="n">
        <f aca="false">IF(Assumptions!H$201&lt;Contract_Register!$T$43,0,IF(Assumptions!H$201=Contract_Register!$T$43,Contract_Register!$I$43*Contract_Register!$S$43,G45*(1+Contract_Register!$M$43*Assumptions!$F$178)))</f>
        <v>0</v>
      </c>
      <c r="I45" s="67" t="n">
        <f aca="false">IF(Assumptions!I$201&lt;Contract_Register!$T$43,0,IF(Assumptions!I$201=Contract_Register!$T$43,Contract_Register!$I$43*Contract_Register!$S$43,H45*(1+Contract_Register!$M$43*Assumptions!$F$178)))</f>
        <v>0</v>
      </c>
      <c r="J45" s="67" t="n">
        <f aca="false">IF(Assumptions!J$201&lt;Contract_Register!$T$43,0,IF(Assumptions!J$201=Contract_Register!$T$43,Contract_Register!$I$43*Contract_Register!$S$43,I45*(1+Contract_Register!$M$43*Assumptions!$F$178)))</f>
        <v>0</v>
      </c>
      <c r="K45" s="67" t="n">
        <f aca="false">IF(Assumptions!K$201&lt;Contract_Register!$T$43,0,IF(Assumptions!K$201=Contract_Register!$T$43,Contract_Register!$I$43*Contract_Register!$S$43,J45*(1+Contract_Register!$M$43*Assumptions!$F$178)))</f>
        <v>0</v>
      </c>
      <c r="L45" s="67" t="n">
        <f aca="false">IF(Assumptions!L$201&lt;Contract_Register!$T$43,0,IF(Assumptions!L$201=Contract_Register!$T$43,Contract_Register!$I$43*Contract_Register!$S$43,K45*(1+Contract_Register!$M$43*Assumptions!$F$178)))</f>
        <v>0</v>
      </c>
      <c r="M45" s="67" t="n">
        <f aca="false">IF(Assumptions!M$201&lt;Contract_Register!$T$43,0,IF(Assumptions!M$201=Contract_Register!$T$43,Contract_Register!$I$43*Contract_Register!$S$43,L45*(1+Contract_Register!$M$43*Assumptions!$F$178)))</f>
        <v>0</v>
      </c>
      <c r="N45" s="67" t="n">
        <f aca="false">IF(Assumptions!N$201&lt;Contract_Register!$T$43,0,IF(Assumptions!N$201=Contract_Register!$T$43,Contract_Register!$I$43*Contract_Register!$S$43,M45*(1+Contract_Register!$M$43*Assumptions!$F$178)))</f>
        <v>0</v>
      </c>
      <c r="O45" s="67" t="n">
        <f aca="false">IF(Assumptions!O$201&lt;Contract_Register!$T$43,0,IF(Assumptions!O$201=Contract_Register!$T$43,Contract_Register!$I$43*Contract_Register!$S$43,N45*(1+Contract_Register!$M$43*Assumptions!$F$178)))</f>
        <v>0</v>
      </c>
      <c r="P45" s="67" t="n">
        <f aca="false">IF(Assumptions!P$201&lt;Contract_Register!$T$43,0,IF(Assumptions!P$201=Contract_Register!$T$43,Contract_Register!$I$43*Contract_Register!$S$43,O45*(1+Contract_Register!$M$43*Assumptions!$F$178)))</f>
        <v>0</v>
      </c>
      <c r="Q45" s="67" t="n">
        <f aca="false">IF(Assumptions!Q$201&lt;Contract_Register!$T$43,0,IF(Assumptions!Q$201=Contract_Register!$T$43,Contract_Register!$I$43*Contract_Register!$S$43,P45*(1+Contract_Register!$M$43*Assumptions!$F$178)))</f>
        <v>0</v>
      </c>
      <c r="R45" s="67" t="n">
        <f aca="false">IF(Assumptions!R$201&lt;Contract_Register!$T$43,0,IF(Assumptions!R$201=Contract_Register!$T$43,Contract_Register!$I$43*Contract_Register!$S$43,Q45*(1+Contract_Register!$M$43*Assumptions!$F$178)))</f>
        <v>0</v>
      </c>
      <c r="S45" s="67" t="n">
        <f aca="false">IF(Assumptions!S$201&lt;Contract_Register!$T$43,0,IF(Assumptions!S$201=Contract_Register!$T$43,Contract_Register!$I$43*Contract_Register!$S$43,R45*(1+Contract_Register!$M$43*Assumptions!$F$178)))</f>
        <v>0</v>
      </c>
      <c r="T45" s="67" t="n">
        <f aca="false">IF(Assumptions!T$201&lt;Contract_Register!$T$43,0,IF(Assumptions!T$201=Contract_Register!$T$43,Contract_Register!$I$43*Contract_Register!$S$43,S45*(1+Contract_Register!$M$43*Assumptions!$F$178)))</f>
        <v>40</v>
      </c>
      <c r="U45" s="67" t="n">
        <f aca="false">IF(Assumptions!U$201&lt;Contract_Register!$T$43,0,IF(Assumptions!U$201=Contract_Register!$T$43,Contract_Register!$I$43*Contract_Register!$S$43,T45*(1+Contract_Register!$M$43*Assumptions!$F$178)))</f>
        <v>40.08</v>
      </c>
      <c r="V45" s="67" t="n">
        <f aca="false">IF(Assumptions!V$201&lt;Contract_Register!$T$43,0,IF(Assumptions!V$201=Contract_Register!$T$43,Contract_Register!$I$43*Contract_Register!$S$43,U45*(1+Contract_Register!$M$43*Assumptions!$F$178)))</f>
        <v>40.16016</v>
      </c>
      <c r="W45" s="67" t="n">
        <f aca="false">IF(Assumptions!W$201&lt;Contract_Register!$T$43,0,IF(Assumptions!W$201=Contract_Register!$T$43,Contract_Register!$I$43*Contract_Register!$S$43,V45*(1+Contract_Register!$M$43*Assumptions!$F$178)))</f>
        <v>40.24048032</v>
      </c>
      <c r="X45" s="67" t="n">
        <f aca="false">IF(Assumptions!X$201&lt;Contract_Register!$T$43,0,IF(Assumptions!X$201=Contract_Register!$T$43,Contract_Register!$I$43*Contract_Register!$S$43,W45*(1+Contract_Register!$M$43*Assumptions!$F$178)))</f>
        <v>40.32096128064</v>
      </c>
      <c r="Y45" s="67" t="n">
        <f aca="false">IF(Assumptions!Y$201&lt;Contract_Register!$T$43,0,IF(Assumptions!Y$201=Contract_Register!$T$43,Contract_Register!$I$43*Contract_Register!$S$43,X45*(1+Contract_Register!$M$43*Assumptions!$F$178)))</f>
        <v>40.4016032032013</v>
      </c>
      <c r="Z45" s="67" t="n">
        <f aca="false">IF(Assumptions!Z$201&lt;Contract_Register!$T$43,0,IF(Assumptions!Z$201=Contract_Register!$T$43,Contract_Register!$I$43*Contract_Register!$S$43,Y45*(1+Contract_Register!$M$43*Assumptions!$F$178)))</f>
        <v>40.4824064096077</v>
      </c>
      <c r="AA45" s="67" t="n">
        <f aca="false">IF(Assumptions!AA$201&lt;Contract_Register!$T$43,0,IF(Assumptions!AA$201=Contract_Register!$T$43,Contract_Register!$I$43*Contract_Register!$S$43,Z45*(1+Contract_Register!$M$43*Assumptions!$F$178)))</f>
        <v>40.5633712224269</v>
      </c>
      <c r="AB45" s="67" t="n">
        <f aca="false">IF(Assumptions!AB$201&lt;Contract_Register!$T$43,0,IF(Assumptions!AB$201=Contract_Register!$T$43,Contract_Register!$I$43*Contract_Register!$S$43,AA45*(1+Contract_Register!$M$43*Assumptions!$F$178)))</f>
        <v>40.6444979648717</v>
      </c>
    </row>
    <row r="46" customFormat="false" ht="15" hidden="false" customHeight="false" outlineLevel="0" collapsed="false">
      <c r="A46" s="21" t="s">
        <v>812</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row>
    <row r="47" customFormat="false" ht="15" hidden="false" customHeight="false" outlineLevel="0" collapsed="false">
      <c r="A47" s="27" t="s">
        <v>813</v>
      </c>
      <c r="B47" s="63" t="s">
        <v>774</v>
      </c>
      <c r="C47" s="66" t="n">
        <f aca="false">P47</f>
        <v>96.384576384096</v>
      </c>
      <c r="D47" s="66" t="n">
        <f aca="false">AB47</f>
        <v>87.7928165416259</v>
      </c>
      <c r="E47" s="67" t="n">
        <f aca="false">IF(E$5="A",Inputs_Actuals!E42,IF(Assumptions!E$201&lt;Contract_Register!$T$7,0,Contract_Register!$J$7*(1+Contract_Register!$M$7/2*Assumptions!$F$178)*IF(AND(Assumptions!E$201&gt;Contract_Register!$T$7,MOD(Assumptions!E$201-Contract_Register!$T$7,Assumptions!$C$90)=0),Contract_Register!$S$7,1)))</f>
        <v>95</v>
      </c>
      <c r="F47" s="67" t="n">
        <f aca="false">IF(F$5="A",Inputs_Actuals!F42,IF(Assumptions!F$201&lt;Contract_Register!$T$7,0,E47*(1+Contract_Register!$M$7/2*Assumptions!$F$178)*IF(AND(Assumptions!F$201&gt;Contract_Register!$T$7,MOD(Assumptions!F$201-Contract_Register!$T$7,Assumptions!$C$90)=0),Contract_Register!$S$7,1)))</f>
        <v>95</v>
      </c>
      <c r="G47" s="67" t="n">
        <f aca="false">IF(G$5="A",Inputs_Actuals!G42,IF(Assumptions!G$201&lt;Contract_Register!$T$7,0,F47*(1+Contract_Register!$M$7/2*Assumptions!$F$178)*IF(AND(Assumptions!G$201&gt;Contract_Register!$T$7,MOD(Assumptions!G$201-Contract_Register!$T$7,Assumptions!$C$90)=0),Contract_Register!$S$7,1)))</f>
        <v>95</v>
      </c>
      <c r="H47" s="67" t="n">
        <f aca="false">IF(H$5="A",Inputs_Actuals!H42,IF(Assumptions!H$201&lt;Contract_Register!$T$7,0,G47*(1+Contract_Register!$M$7/2*Assumptions!$F$178)*IF(AND(Assumptions!H$201&gt;Contract_Register!$T$7,MOD(Assumptions!H$201-Contract_Register!$T$7,Assumptions!$C$90)=0),Contract_Register!$S$7,1)))</f>
        <v>96</v>
      </c>
      <c r="I47" s="67" t="n">
        <f aca="false">IF(I$5="A",Inputs_Actuals!I42,IF(Assumptions!I$201&lt;Contract_Register!$T$7,0,H47*(1+Contract_Register!$M$7/2*Assumptions!$F$178)*IF(AND(Assumptions!I$201&gt;Contract_Register!$T$7,MOD(Assumptions!I$201-Contract_Register!$T$7,Assumptions!$C$90)=0),Contract_Register!$S$7,1)))</f>
        <v>96</v>
      </c>
      <c r="J47" s="67" t="n">
        <f aca="false">IF(J$5="A",Inputs_Actuals!J42,IF(Assumptions!J$201&lt;Contract_Register!$T$7,0,I47*(1+Contract_Register!$M$7/2*Assumptions!$F$178)*IF(AND(Assumptions!J$201&gt;Contract_Register!$T$7,MOD(Assumptions!J$201-Contract_Register!$T$7,Assumptions!$C$90)=0),Contract_Register!$S$7,1)))</f>
        <v>96</v>
      </c>
      <c r="K47" s="67" t="n">
        <f aca="false">IF(K$5="A",Inputs_Actuals!K42,IF(Assumptions!K$201&lt;Contract_Register!$T$7,0,J47*(1+Contract_Register!$M$7/2*Assumptions!$F$178)*IF(AND(Assumptions!K$201&gt;Contract_Register!$T$7,MOD(Assumptions!K$201-Contract_Register!$T$7,Assumptions!$C$90)=0),Contract_Register!$S$7,1)))</f>
        <v>96</v>
      </c>
      <c r="L47" s="67" t="n">
        <f aca="false">IF(L$5="A",Inputs_Actuals!L42,IF(Assumptions!L$201&lt;Contract_Register!$T$7,0,K47*(1+Contract_Register!$M$7/2*Assumptions!$F$178)*IF(AND(Assumptions!L$201&gt;Contract_Register!$T$7,MOD(Assumptions!L$201-Contract_Register!$T$7,Assumptions!$C$90)=0),Contract_Register!$S$7,1)))</f>
        <v>96</v>
      </c>
      <c r="M47" s="67" t="n">
        <f aca="false">IF(M$5="A",Inputs_Actuals!M42,IF(Assumptions!M$201&lt;Contract_Register!$T$7,0,L47*(1+Contract_Register!$M$7/2*Assumptions!$F$178)*IF(AND(Assumptions!M$201&gt;Contract_Register!$T$7,MOD(Assumptions!M$201-Contract_Register!$T$7,Assumptions!$C$90)=0),Contract_Register!$S$7,1)))</f>
        <v>96.096</v>
      </c>
      <c r="N47" s="67" t="n">
        <f aca="false">IF(N$5="A",Inputs_Actuals!N42,IF(Assumptions!N$201&lt;Contract_Register!$T$7,0,M47*(1+Contract_Register!$M$7/2*Assumptions!$F$178)*IF(AND(Assumptions!N$201&gt;Contract_Register!$T$7,MOD(Assumptions!N$201-Contract_Register!$T$7,Assumptions!$C$90)=0),Contract_Register!$S$7,1)))</f>
        <v>96.192096</v>
      </c>
      <c r="O47" s="67" t="n">
        <f aca="false">IF(O$5="A",Inputs_Actuals!O42,IF(Assumptions!O$201&lt;Contract_Register!$T$7,0,N47*(1+Contract_Register!$M$7/2*Assumptions!$F$178)*IF(AND(Assumptions!O$201&gt;Contract_Register!$T$7,MOD(Assumptions!O$201-Contract_Register!$T$7,Assumptions!$C$90)=0),Contract_Register!$S$7,1)))</f>
        <v>96.288288096</v>
      </c>
      <c r="P47" s="67" t="n">
        <f aca="false">IF(P$5="A",Inputs_Actuals!P42,IF(Assumptions!P$201&lt;Contract_Register!$T$7,0,O47*(1+Contract_Register!$M$7/2*Assumptions!$F$178)*IF(AND(Assumptions!P$201&gt;Contract_Register!$T$7,MOD(Assumptions!P$201-Contract_Register!$T$7,Assumptions!$C$90)=0),Contract_Register!$S$7,1)))</f>
        <v>96.384576384096</v>
      </c>
      <c r="Q47" s="67" t="n">
        <f aca="false">IF(Q$5="A",Inputs_Actuals!Q42,IF(Assumptions!Q$201&lt;Contract_Register!$T$7,0,P47*(1+Contract_Register!$M$7/2*Assumptions!$F$178)*IF(AND(Assumptions!Q$201&gt;Contract_Register!$T$7,MOD(Assumptions!Q$201-Contract_Register!$T$7,Assumptions!$C$90)=0),Contract_Register!$S$7,1)))</f>
        <v>96.4809609604801</v>
      </c>
      <c r="R47" s="67" t="n">
        <f aca="false">IF(R$5="A",Inputs_Actuals!R42,IF(Assumptions!R$201&lt;Contract_Register!$T$7,0,Q47*(1+Contract_Register!$M$7/2*Assumptions!$F$178)*IF(AND(Assumptions!R$201&gt;Contract_Register!$T$7,MOD(Assumptions!R$201-Contract_Register!$T$7,Assumptions!$C$90)=0),Contract_Register!$S$7,1)))</f>
        <v>96.5774419214405</v>
      </c>
      <c r="S47" s="67" t="n">
        <f aca="false">IF(S$5="A",Inputs_Actuals!S42,IF(Assumptions!S$201&lt;Contract_Register!$T$7,0,R47*(1+Contract_Register!$M$7/2*Assumptions!$F$178)*IF(AND(Assumptions!S$201&gt;Contract_Register!$T$7,MOD(Assumptions!S$201-Contract_Register!$T$7,Assumptions!$C$90)=0),Contract_Register!$S$7,1)))</f>
        <v>87.0066174270257</v>
      </c>
      <c r="T47" s="67" t="n">
        <f aca="false">IF(T$5="A",Inputs_Actuals!T42,IF(Assumptions!T$201&lt;Contract_Register!$T$7,0,S47*(1+Contract_Register!$M$7/2*Assumptions!$F$178)*IF(AND(Assumptions!T$201&gt;Contract_Register!$T$7,MOD(Assumptions!T$201-Contract_Register!$T$7,Assumptions!$C$90)=0),Contract_Register!$S$7,1)))</f>
        <v>87.0936240444528</v>
      </c>
      <c r="U47" s="67" t="n">
        <f aca="false">IF(U$5="A",Inputs_Actuals!U42,IF(Assumptions!U$201&lt;Contract_Register!$T$7,0,T47*(1+Contract_Register!$M$7/2*Assumptions!$F$178)*IF(AND(Assumptions!U$201&gt;Contract_Register!$T$7,MOD(Assumptions!U$201-Contract_Register!$T$7,Assumptions!$C$90)=0),Contract_Register!$S$7,1)))</f>
        <v>87.1807176684972</v>
      </c>
      <c r="V47" s="67" t="n">
        <f aca="false">IF(V$5="A",Inputs_Actuals!V42,IF(Assumptions!V$201&lt;Contract_Register!$T$7,0,U47*(1+Contract_Register!$M$7/2*Assumptions!$F$178)*IF(AND(Assumptions!V$201&gt;Contract_Register!$T$7,MOD(Assumptions!V$201-Contract_Register!$T$7,Assumptions!$C$90)=0),Contract_Register!$S$7,1)))</f>
        <v>87.2678983861657</v>
      </c>
      <c r="W47" s="67" t="n">
        <f aca="false">IF(W$5="A",Inputs_Actuals!W42,IF(Assumptions!W$201&lt;Contract_Register!$T$7,0,V47*(1+Contract_Register!$M$7/2*Assumptions!$F$178)*IF(AND(Assumptions!W$201&gt;Contract_Register!$T$7,MOD(Assumptions!W$201-Contract_Register!$T$7,Assumptions!$C$90)=0),Contract_Register!$S$7,1)))</f>
        <v>87.3551662845519</v>
      </c>
      <c r="X47" s="67" t="n">
        <f aca="false">IF(X$5="A",Inputs_Actuals!X42,IF(Assumptions!X$201&lt;Contract_Register!$T$7,0,W47*(1+Contract_Register!$M$7/2*Assumptions!$F$178)*IF(AND(Assumptions!X$201&gt;Contract_Register!$T$7,MOD(Assumptions!X$201-Contract_Register!$T$7,Assumptions!$C$90)=0),Contract_Register!$S$7,1)))</f>
        <v>87.4425214508364</v>
      </c>
      <c r="Y47" s="67" t="n">
        <f aca="false">IF(Y$5="A",Inputs_Actuals!Y42,IF(Assumptions!Y$201&lt;Contract_Register!$T$7,0,X47*(1+Contract_Register!$M$7/2*Assumptions!$F$178)*IF(AND(Assumptions!Y$201&gt;Contract_Register!$T$7,MOD(Assumptions!Y$201-Contract_Register!$T$7,Assumptions!$C$90)=0),Contract_Register!$S$7,1)))</f>
        <v>87.5299639722872</v>
      </c>
      <c r="Z47" s="67" t="n">
        <f aca="false">IF(Z$5="A",Inputs_Actuals!Z42,IF(Assumptions!Z$201&lt;Contract_Register!$T$7,0,Y47*(1+Contract_Register!$M$7/2*Assumptions!$F$178)*IF(AND(Assumptions!Z$201&gt;Contract_Register!$T$7,MOD(Assumptions!Z$201-Contract_Register!$T$7,Assumptions!$C$90)=0),Contract_Register!$S$7,1)))</f>
        <v>87.6174939362595</v>
      </c>
      <c r="AA47" s="67" t="n">
        <f aca="false">IF(AA$5="A",Inputs_Actuals!AA42,IF(Assumptions!AA$201&lt;Contract_Register!$T$7,0,Z47*(1+Contract_Register!$M$7/2*Assumptions!$F$178)*IF(AND(Assumptions!AA$201&gt;Contract_Register!$T$7,MOD(Assumptions!AA$201-Contract_Register!$T$7,Assumptions!$C$90)=0),Contract_Register!$S$7,1)))</f>
        <v>87.7051114301957</v>
      </c>
      <c r="AB47" s="67" t="n">
        <f aca="false">IF(AB$5="A",Inputs_Actuals!AB42,IF(Assumptions!AB$201&lt;Contract_Register!$T$7,0,AA47*(1+Contract_Register!$M$7/2*Assumptions!$F$178)*IF(AND(Assumptions!AB$201&gt;Contract_Register!$T$7,MOD(Assumptions!AB$201-Contract_Register!$T$7,Assumptions!$C$90)=0),Contract_Register!$S$7,1)))</f>
        <v>87.7928165416259</v>
      </c>
    </row>
    <row r="48" customFormat="false" ht="15" hidden="false" customHeight="false" outlineLevel="0" collapsed="false">
      <c r="A48" s="27" t="s">
        <v>814</v>
      </c>
      <c r="B48" s="63" t="s">
        <v>774</v>
      </c>
      <c r="C48" s="66" t="n">
        <f aca="false">P48</f>
        <v>70.56168224112</v>
      </c>
      <c r="D48" s="66" t="n">
        <f aca="false">AB48</f>
        <v>72.2739156482203</v>
      </c>
      <c r="E48" s="67" t="n">
        <f aca="false">IF(E$5="A",Inputs_Actuals!E43,IF(Assumptions!E$201&lt;Contract_Register!$T$8,0,Contract_Register!$J$8*(1+Contract_Register!$M$8/2*Assumptions!$F$178)*IF(AND(Assumptions!E$201&gt;Contract_Register!$T$8,MOD(Assumptions!E$201-Contract_Register!$T$8,Assumptions!$C$90)=0),Contract_Register!$S$8,1)))</f>
        <v>70</v>
      </c>
      <c r="F48" s="67" t="n">
        <f aca="false">IF(F$5="A",Inputs_Actuals!F43,IF(Assumptions!F$201&lt;Contract_Register!$T$8,0,E48*(1+Contract_Register!$M$8/2*Assumptions!$F$178)*IF(AND(Assumptions!F$201&gt;Contract_Register!$T$8,MOD(Assumptions!F$201-Contract_Register!$T$8,Assumptions!$C$90)=0),Contract_Register!$S$8,1)))</f>
        <v>70</v>
      </c>
      <c r="G48" s="67" t="n">
        <f aca="false">IF(G$5="A",Inputs_Actuals!G43,IF(Assumptions!G$201&lt;Contract_Register!$T$8,0,F48*(1+Contract_Register!$M$8/2*Assumptions!$F$178)*IF(AND(Assumptions!G$201&gt;Contract_Register!$T$8,MOD(Assumptions!G$201-Contract_Register!$T$8,Assumptions!$C$90)=0),Contract_Register!$S$8,1)))</f>
        <v>70</v>
      </c>
      <c r="H48" s="67" t="n">
        <f aca="false">IF(H$5="A",Inputs_Actuals!H43,IF(Assumptions!H$201&lt;Contract_Register!$T$8,0,G48*(1+Contract_Register!$M$8/2*Assumptions!$F$178)*IF(AND(Assumptions!H$201&gt;Contract_Register!$T$8,MOD(Assumptions!H$201-Contract_Register!$T$8,Assumptions!$C$90)=0),Contract_Register!$S$8,1)))</f>
        <v>70</v>
      </c>
      <c r="I48" s="67" t="n">
        <f aca="false">IF(I$5="A",Inputs_Actuals!I43,IF(Assumptions!I$201&lt;Contract_Register!$T$8,0,H48*(1+Contract_Register!$M$8/2*Assumptions!$F$178)*IF(AND(Assumptions!I$201&gt;Contract_Register!$T$8,MOD(Assumptions!I$201-Contract_Register!$T$8,Assumptions!$C$90)=0),Contract_Register!$S$8,1)))</f>
        <v>70</v>
      </c>
      <c r="J48" s="67" t="n">
        <f aca="false">IF(J$5="A",Inputs_Actuals!J43,IF(Assumptions!J$201&lt;Contract_Register!$T$8,0,I48*(1+Contract_Register!$M$8/2*Assumptions!$F$178)*IF(AND(Assumptions!J$201&gt;Contract_Register!$T$8,MOD(Assumptions!J$201-Contract_Register!$T$8,Assumptions!$C$90)=0),Contract_Register!$S$8,1)))</f>
        <v>70</v>
      </c>
      <c r="K48" s="67" t="n">
        <f aca="false">IF(K$5="A",Inputs_Actuals!K43,IF(Assumptions!K$201&lt;Contract_Register!$T$8,0,J48*(1+Contract_Register!$M$8/2*Assumptions!$F$178)*IF(AND(Assumptions!K$201&gt;Contract_Register!$T$8,MOD(Assumptions!K$201-Contract_Register!$T$8,Assumptions!$C$90)=0),Contract_Register!$S$8,1)))</f>
        <v>70</v>
      </c>
      <c r="L48" s="67" t="n">
        <f aca="false">IF(L$5="A",Inputs_Actuals!L43,IF(Assumptions!L$201&lt;Contract_Register!$T$8,0,K48*(1+Contract_Register!$M$8/2*Assumptions!$F$178)*IF(AND(Assumptions!L$201&gt;Contract_Register!$T$8,MOD(Assumptions!L$201-Contract_Register!$T$8,Assumptions!$C$90)=0),Contract_Register!$S$8,1)))</f>
        <v>70</v>
      </c>
      <c r="M48" s="67" t="n">
        <f aca="false">IF(M$5="A",Inputs_Actuals!M43,IF(Assumptions!M$201&lt;Contract_Register!$T$8,0,L48*(1+Contract_Register!$M$8/2*Assumptions!$F$178)*IF(AND(Assumptions!M$201&gt;Contract_Register!$T$8,MOD(Assumptions!M$201-Contract_Register!$T$8,Assumptions!$C$90)=0),Contract_Register!$S$8,1)))</f>
        <v>70.14</v>
      </c>
      <c r="N48" s="67" t="n">
        <f aca="false">IF(N$5="A",Inputs_Actuals!N43,IF(Assumptions!N$201&lt;Contract_Register!$T$8,0,M48*(1+Contract_Register!$M$8/2*Assumptions!$F$178)*IF(AND(Assumptions!N$201&gt;Contract_Register!$T$8,MOD(Assumptions!N$201-Contract_Register!$T$8,Assumptions!$C$90)=0),Contract_Register!$S$8,1)))</f>
        <v>70.28028</v>
      </c>
      <c r="O48" s="67" t="n">
        <f aca="false">IF(O$5="A",Inputs_Actuals!O43,IF(Assumptions!O$201&lt;Contract_Register!$T$8,0,N48*(1+Contract_Register!$M$8/2*Assumptions!$F$178)*IF(AND(Assumptions!O$201&gt;Contract_Register!$T$8,MOD(Assumptions!O$201-Contract_Register!$T$8,Assumptions!$C$90)=0),Contract_Register!$S$8,1)))</f>
        <v>70.42084056</v>
      </c>
      <c r="P48" s="67" t="n">
        <f aca="false">IF(P$5="A",Inputs_Actuals!P43,IF(Assumptions!P$201&lt;Contract_Register!$T$8,0,O48*(1+Contract_Register!$M$8/2*Assumptions!$F$178)*IF(AND(Assumptions!P$201&gt;Contract_Register!$T$8,MOD(Assumptions!P$201-Contract_Register!$T$8,Assumptions!$C$90)=0),Contract_Register!$S$8,1)))</f>
        <v>70.56168224112</v>
      </c>
      <c r="Q48" s="67" t="n">
        <f aca="false">IF(Q$5="A",Inputs_Actuals!Q43,IF(Assumptions!Q$201&lt;Contract_Register!$T$8,0,P48*(1+Contract_Register!$M$8/2*Assumptions!$F$178)*IF(AND(Assumptions!Q$201&gt;Contract_Register!$T$8,MOD(Assumptions!Q$201-Contract_Register!$T$8,Assumptions!$C$90)=0),Contract_Register!$S$8,1)))</f>
        <v>70.7028056056022</v>
      </c>
      <c r="R48" s="67" t="n">
        <f aca="false">IF(R$5="A",Inputs_Actuals!R43,IF(Assumptions!R$201&lt;Contract_Register!$T$8,0,Q48*(1+Contract_Register!$M$8/2*Assumptions!$F$178)*IF(AND(Assumptions!R$201&gt;Contract_Register!$T$8,MOD(Assumptions!R$201-Contract_Register!$T$8,Assumptions!$C$90)=0),Contract_Register!$S$8,1)))</f>
        <v>70.8442112168134</v>
      </c>
      <c r="S48" s="67" t="n">
        <f aca="false">IF(S$5="A",Inputs_Actuals!S43,IF(Assumptions!S$201&lt;Contract_Register!$T$8,0,R48*(1+Contract_Register!$M$8/2*Assumptions!$F$178)*IF(AND(Assumptions!S$201&gt;Contract_Register!$T$8,MOD(Assumptions!S$201-Contract_Register!$T$8,Assumptions!$C$90)=0),Contract_Register!$S$8,1)))</f>
        <v>70.9858996392471</v>
      </c>
      <c r="T48" s="67" t="n">
        <f aca="false">IF(T$5="A",Inputs_Actuals!T43,IF(Assumptions!T$201&lt;Contract_Register!$T$8,0,S48*(1+Contract_Register!$M$8/2*Assumptions!$F$178)*IF(AND(Assumptions!T$201&gt;Contract_Register!$T$8,MOD(Assumptions!T$201-Contract_Register!$T$8,Assumptions!$C$90)=0),Contract_Register!$S$8,1)))</f>
        <v>71.1278714385256</v>
      </c>
      <c r="U48" s="67" t="n">
        <f aca="false">IF(U$5="A",Inputs_Actuals!U43,IF(Assumptions!U$201&lt;Contract_Register!$T$8,0,T48*(1+Contract_Register!$M$8/2*Assumptions!$F$178)*IF(AND(Assumptions!U$201&gt;Contract_Register!$T$8,MOD(Assumptions!U$201-Contract_Register!$T$8,Assumptions!$C$90)=0),Contract_Register!$S$8,1)))</f>
        <v>71.2701271814026</v>
      </c>
      <c r="V48" s="67" t="n">
        <f aca="false">IF(V$5="A",Inputs_Actuals!V43,IF(Assumptions!V$201&lt;Contract_Register!$T$8,0,U48*(1+Contract_Register!$M$8/2*Assumptions!$F$178)*IF(AND(Assumptions!V$201&gt;Contract_Register!$T$8,MOD(Assumptions!V$201-Contract_Register!$T$8,Assumptions!$C$90)=0),Contract_Register!$S$8,1)))</f>
        <v>71.4126674357654</v>
      </c>
      <c r="W48" s="67" t="n">
        <f aca="false">IF(W$5="A",Inputs_Actuals!W43,IF(Assumptions!W$201&lt;Contract_Register!$T$8,0,V48*(1+Contract_Register!$M$8/2*Assumptions!$F$178)*IF(AND(Assumptions!W$201&gt;Contract_Register!$T$8,MOD(Assumptions!W$201-Contract_Register!$T$8,Assumptions!$C$90)=0),Contract_Register!$S$8,1)))</f>
        <v>71.555492770637</v>
      </c>
      <c r="X48" s="67" t="n">
        <f aca="false">IF(X$5="A",Inputs_Actuals!X43,IF(Assumptions!X$201&lt;Contract_Register!$T$8,0,W48*(1+Contract_Register!$M$8/2*Assumptions!$F$178)*IF(AND(Assumptions!X$201&gt;Contract_Register!$T$8,MOD(Assumptions!X$201-Contract_Register!$T$8,Assumptions!$C$90)=0),Contract_Register!$S$8,1)))</f>
        <v>71.6986037561782</v>
      </c>
      <c r="Y48" s="67" t="n">
        <f aca="false">IF(Y$5="A",Inputs_Actuals!Y43,IF(Assumptions!Y$201&lt;Contract_Register!$T$8,0,X48*(1+Contract_Register!$M$8/2*Assumptions!$F$178)*IF(AND(Assumptions!Y$201&gt;Contract_Register!$T$8,MOD(Assumptions!Y$201-Contract_Register!$T$8,Assumptions!$C$90)=0),Contract_Register!$S$8,1)))</f>
        <v>71.8420009636906</v>
      </c>
      <c r="Z48" s="67" t="n">
        <f aca="false">IF(Z$5="A",Inputs_Actuals!Z43,IF(Assumptions!Z$201&lt;Contract_Register!$T$8,0,Y48*(1+Contract_Register!$M$8/2*Assumptions!$F$178)*IF(AND(Assumptions!Z$201&gt;Contract_Register!$T$8,MOD(Assumptions!Z$201-Contract_Register!$T$8,Assumptions!$C$90)=0),Contract_Register!$S$8,1)))</f>
        <v>71.985684965618</v>
      </c>
      <c r="AA48" s="67" t="n">
        <f aca="false">IF(AA$5="A",Inputs_Actuals!AA43,IF(Assumptions!AA$201&lt;Contract_Register!$T$8,0,Z48*(1+Contract_Register!$M$8/2*Assumptions!$F$178)*IF(AND(Assumptions!AA$201&gt;Contract_Register!$T$8,MOD(Assumptions!AA$201-Contract_Register!$T$8,Assumptions!$C$90)=0),Contract_Register!$S$8,1)))</f>
        <v>72.1296563355492</v>
      </c>
      <c r="AB48" s="67" t="n">
        <f aca="false">IF(AB$5="A",Inputs_Actuals!AB43,IF(Assumptions!AB$201&lt;Contract_Register!$T$8,0,AA48*(1+Contract_Register!$M$8/2*Assumptions!$F$178)*IF(AND(Assumptions!AB$201&gt;Contract_Register!$T$8,MOD(Assumptions!AB$201-Contract_Register!$T$8,Assumptions!$C$90)=0),Contract_Register!$S$8,1)))</f>
        <v>72.2739156482203</v>
      </c>
    </row>
    <row r="49" customFormat="false" ht="15" hidden="false" customHeight="false" outlineLevel="0" collapsed="false">
      <c r="A49" s="27" t="s">
        <v>815</v>
      </c>
      <c r="B49" s="63" t="s">
        <v>774</v>
      </c>
      <c r="C49" s="66" t="n">
        <f aca="false">P49</f>
        <v>35.0299724574822</v>
      </c>
      <c r="D49" s="66" t="n">
        <f aca="false">AB49</f>
        <v>35.2407312511815</v>
      </c>
      <c r="E49" s="67" t="n">
        <f aca="false">IF(E$5="A",Inputs_Actuals!E44,IF(Assumptions!E$201&lt;Contract_Register!$T$9,0,Contract_Register!$J$9*(1+Contract_Register!$M$9/2*Assumptions!$F$178)*IF(AND(Assumptions!E$201&gt;Contract_Register!$T$9,MOD(Assumptions!E$201-Contract_Register!$T$9,Assumptions!$C$90)=0),Contract_Register!$S$9,1)))</f>
        <v>38</v>
      </c>
      <c r="F49" s="67" t="n">
        <f aca="false">IF(F$5="A",Inputs_Actuals!F44,IF(Assumptions!F$201&lt;Contract_Register!$T$9,0,E49*(1+Contract_Register!$M$9/2*Assumptions!$F$178)*IF(AND(Assumptions!F$201&gt;Contract_Register!$T$9,MOD(Assumptions!F$201-Contract_Register!$T$9,Assumptions!$C$90)=0),Contract_Register!$S$9,1)))</f>
        <v>38</v>
      </c>
      <c r="G49" s="67" t="n">
        <f aca="false">IF(G$5="A",Inputs_Actuals!G44,IF(Assumptions!G$201&lt;Contract_Register!$T$9,0,F49*(1+Contract_Register!$M$9/2*Assumptions!$F$178)*IF(AND(Assumptions!G$201&gt;Contract_Register!$T$9,MOD(Assumptions!G$201-Contract_Register!$T$9,Assumptions!$C$90)=0),Contract_Register!$S$9,1)))</f>
        <v>38</v>
      </c>
      <c r="H49" s="67" t="n">
        <f aca="false">IF(H$5="A",Inputs_Actuals!H44,IF(Assumptions!H$201&lt;Contract_Register!$T$9,0,G49*(1+Contract_Register!$M$9/2*Assumptions!$F$178)*IF(AND(Assumptions!H$201&gt;Contract_Register!$T$9,MOD(Assumptions!H$201-Contract_Register!$T$9,Assumptions!$C$90)=0),Contract_Register!$S$9,1)))</f>
        <v>38</v>
      </c>
      <c r="I49" s="67" t="n">
        <f aca="false">IF(I$5="A",Inputs_Actuals!I44,IF(Assumptions!I$201&lt;Contract_Register!$T$9,0,H49*(1+Contract_Register!$M$9/2*Assumptions!$F$178)*IF(AND(Assumptions!I$201&gt;Contract_Register!$T$9,MOD(Assumptions!I$201-Contract_Register!$T$9,Assumptions!$C$90)=0),Contract_Register!$S$9,1)))</f>
        <v>38</v>
      </c>
      <c r="J49" s="67" t="n">
        <f aca="false">IF(J$5="A",Inputs_Actuals!J44,IF(Assumptions!J$201&lt;Contract_Register!$T$9,0,I49*(1+Contract_Register!$M$9/2*Assumptions!$F$178)*IF(AND(Assumptions!J$201&gt;Contract_Register!$T$9,MOD(Assumptions!J$201-Contract_Register!$T$9,Assumptions!$C$90)=0),Contract_Register!$S$9,1)))</f>
        <v>38</v>
      </c>
      <c r="K49" s="67" t="n">
        <f aca="false">IF(K$5="A",Inputs_Actuals!K44,IF(Assumptions!K$201&lt;Contract_Register!$T$9,0,J49*(1+Contract_Register!$M$9/2*Assumptions!$F$178)*IF(AND(Assumptions!K$201&gt;Contract_Register!$T$9,MOD(Assumptions!K$201-Contract_Register!$T$9,Assumptions!$C$90)=0),Contract_Register!$S$9,1)))</f>
        <v>38</v>
      </c>
      <c r="L49" s="67" t="n">
        <f aca="false">IF(L$5="A",Inputs_Actuals!L44,IF(Assumptions!L$201&lt;Contract_Register!$T$9,0,K49*(1+Contract_Register!$M$9/2*Assumptions!$F$178)*IF(AND(Assumptions!L$201&gt;Contract_Register!$T$9,MOD(Assumptions!L$201-Contract_Register!$T$9,Assumptions!$C$90)=0),Contract_Register!$S$9,1)))</f>
        <v>38</v>
      </c>
      <c r="M49" s="67" t="n">
        <f aca="false">IF(M$5="A",Inputs_Actuals!M44,IF(Assumptions!M$201&lt;Contract_Register!$T$9,0,L49*(1+Contract_Register!$M$9/2*Assumptions!$F$178)*IF(AND(Assumptions!M$201&gt;Contract_Register!$T$9,MOD(Assumptions!M$201-Contract_Register!$T$9,Assumptions!$C$90)=0),Contract_Register!$S$9,1)))</f>
        <v>38.019</v>
      </c>
      <c r="N49" s="67" t="n">
        <f aca="false">IF(N$5="A",Inputs_Actuals!N44,IF(Assumptions!N$201&lt;Contract_Register!$T$9,0,M49*(1+Contract_Register!$M$9/2*Assumptions!$F$178)*IF(AND(Assumptions!N$201&gt;Contract_Register!$T$9,MOD(Assumptions!N$201-Contract_Register!$T$9,Assumptions!$C$90)=0),Contract_Register!$S$9,1)))</f>
        <v>34.99496874</v>
      </c>
      <c r="O49" s="67" t="n">
        <f aca="false">IF(O$5="A",Inputs_Actuals!O44,IF(Assumptions!O$201&lt;Contract_Register!$T$9,0,N49*(1+Contract_Register!$M$9/2*Assumptions!$F$178)*IF(AND(Assumptions!O$201&gt;Contract_Register!$T$9,MOD(Assumptions!O$201-Contract_Register!$T$9,Assumptions!$C$90)=0),Contract_Register!$S$9,1)))</f>
        <v>35.01246622437</v>
      </c>
      <c r="P49" s="67" t="n">
        <f aca="false">IF(P$5="A",Inputs_Actuals!P44,IF(Assumptions!P$201&lt;Contract_Register!$T$9,0,O49*(1+Contract_Register!$M$9/2*Assumptions!$F$178)*IF(AND(Assumptions!P$201&gt;Contract_Register!$T$9,MOD(Assumptions!P$201-Contract_Register!$T$9,Assumptions!$C$90)=0),Contract_Register!$S$9,1)))</f>
        <v>35.0299724574822</v>
      </c>
      <c r="Q49" s="67" t="n">
        <f aca="false">IF(Q$5="A",Inputs_Actuals!Q44,IF(Assumptions!Q$201&lt;Contract_Register!$T$9,0,P49*(1+Contract_Register!$M$9/2*Assumptions!$F$178)*IF(AND(Assumptions!Q$201&gt;Contract_Register!$T$9,MOD(Assumptions!Q$201-Contract_Register!$T$9,Assumptions!$C$90)=0),Contract_Register!$S$9,1)))</f>
        <v>35.0474874437109</v>
      </c>
      <c r="R49" s="67" t="n">
        <f aca="false">IF(R$5="A",Inputs_Actuals!R44,IF(Assumptions!R$201&lt;Contract_Register!$T$9,0,Q49*(1+Contract_Register!$M$9/2*Assumptions!$F$178)*IF(AND(Assumptions!R$201&gt;Contract_Register!$T$9,MOD(Assumptions!R$201-Contract_Register!$T$9,Assumptions!$C$90)=0),Contract_Register!$S$9,1)))</f>
        <v>35.0650111874328</v>
      </c>
      <c r="S49" s="67" t="n">
        <f aca="false">IF(S$5="A",Inputs_Actuals!S44,IF(Assumptions!S$201&lt;Contract_Register!$T$9,0,R49*(1+Contract_Register!$M$9/2*Assumptions!$F$178)*IF(AND(Assumptions!S$201&gt;Contract_Register!$T$9,MOD(Assumptions!S$201-Contract_Register!$T$9,Assumptions!$C$90)=0),Contract_Register!$S$9,1)))</f>
        <v>35.0825436930265</v>
      </c>
      <c r="T49" s="67" t="n">
        <f aca="false">IF(T$5="A",Inputs_Actuals!T44,IF(Assumptions!T$201&lt;Contract_Register!$T$9,0,S49*(1+Contract_Register!$M$9/2*Assumptions!$F$178)*IF(AND(Assumptions!T$201&gt;Contract_Register!$T$9,MOD(Assumptions!T$201-Contract_Register!$T$9,Assumptions!$C$90)=0),Contract_Register!$S$9,1)))</f>
        <v>35.100084964873</v>
      </c>
      <c r="U49" s="67" t="n">
        <f aca="false">IF(U$5="A",Inputs_Actuals!U44,IF(Assumptions!U$201&lt;Contract_Register!$T$9,0,T49*(1+Contract_Register!$M$9/2*Assumptions!$F$178)*IF(AND(Assumptions!U$201&gt;Contract_Register!$T$9,MOD(Assumptions!U$201-Contract_Register!$T$9,Assumptions!$C$90)=0),Contract_Register!$S$9,1)))</f>
        <v>35.1176350073554</v>
      </c>
      <c r="V49" s="67" t="n">
        <f aca="false">IF(V$5="A",Inputs_Actuals!V44,IF(Assumptions!V$201&lt;Contract_Register!$T$9,0,U49*(1+Contract_Register!$M$9/2*Assumptions!$F$178)*IF(AND(Assumptions!V$201&gt;Contract_Register!$T$9,MOD(Assumptions!V$201-Contract_Register!$T$9,Assumptions!$C$90)=0),Contract_Register!$S$9,1)))</f>
        <v>35.1351938248591</v>
      </c>
      <c r="W49" s="67" t="n">
        <f aca="false">IF(W$5="A",Inputs_Actuals!W44,IF(Assumptions!W$201&lt;Contract_Register!$T$9,0,V49*(1+Contract_Register!$M$9/2*Assumptions!$F$178)*IF(AND(Assumptions!W$201&gt;Contract_Register!$T$9,MOD(Assumptions!W$201-Contract_Register!$T$9,Assumptions!$C$90)=0),Contract_Register!$S$9,1)))</f>
        <v>35.1527614217715</v>
      </c>
      <c r="X49" s="67" t="n">
        <f aca="false">IF(X$5="A",Inputs_Actuals!X44,IF(Assumptions!X$201&lt;Contract_Register!$T$9,0,W49*(1+Contract_Register!$M$9/2*Assumptions!$F$178)*IF(AND(Assumptions!X$201&gt;Contract_Register!$T$9,MOD(Assumptions!X$201-Contract_Register!$T$9,Assumptions!$C$90)=0),Contract_Register!$S$9,1)))</f>
        <v>35.1703378024824</v>
      </c>
      <c r="Y49" s="67" t="n">
        <f aca="false">IF(Y$5="A",Inputs_Actuals!Y44,IF(Assumptions!Y$201&lt;Contract_Register!$T$9,0,X49*(1+Contract_Register!$M$9/2*Assumptions!$F$178)*IF(AND(Assumptions!Y$201&gt;Contract_Register!$T$9,MOD(Assumptions!Y$201-Contract_Register!$T$9,Assumptions!$C$90)=0),Contract_Register!$S$9,1)))</f>
        <v>35.1879229713837</v>
      </c>
      <c r="Z49" s="67" t="n">
        <f aca="false">IF(Z$5="A",Inputs_Actuals!Z44,IF(Assumptions!Z$201&lt;Contract_Register!$T$9,0,Y49*(1+Contract_Register!$M$9/2*Assumptions!$F$178)*IF(AND(Assumptions!Z$201&gt;Contract_Register!$T$9,MOD(Assumptions!Z$201-Contract_Register!$T$9,Assumptions!$C$90)=0),Contract_Register!$S$9,1)))</f>
        <v>35.2055169328694</v>
      </c>
      <c r="AA49" s="67" t="n">
        <f aca="false">IF(AA$5="A",Inputs_Actuals!AA44,IF(Assumptions!AA$201&lt;Contract_Register!$T$9,0,Z49*(1+Contract_Register!$M$9/2*Assumptions!$F$178)*IF(AND(Assumptions!AA$201&gt;Contract_Register!$T$9,MOD(Assumptions!AA$201-Contract_Register!$T$9,Assumptions!$C$90)=0),Contract_Register!$S$9,1)))</f>
        <v>35.2231196913358</v>
      </c>
      <c r="AB49" s="67" t="n">
        <f aca="false">IF(AB$5="A",Inputs_Actuals!AB44,IF(Assumptions!AB$201&lt;Contract_Register!$T$9,0,AA49*(1+Contract_Register!$M$9/2*Assumptions!$F$178)*IF(AND(Assumptions!AB$201&gt;Contract_Register!$T$9,MOD(Assumptions!AB$201-Contract_Register!$T$9,Assumptions!$C$90)=0),Contract_Register!$S$9,1)))</f>
        <v>35.2407312511815</v>
      </c>
    </row>
    <row r="50" customFormat="false" ht="15" hidden="false" customHeight="false" outlineLevel="0" collapsed="false">
      <c r="A50" s="27" t="s">
        <v>816</v>
      </c>
      <c r="B50" s="63" t="s">
        <v>774</v>
      </c>
      <c r="C50" s="66" t="n">
        <f aca="false">P50</f>
        <v>22.088132088022</v>
      </c>
      <c r="D50" s="66" t="n">
        <f aca="false">AB50</f>
        <v>22.3546523601362</v>
      </c>
      <c r="E50" s="67" t="n">
        <f aca="false">IF(E$5="A",Inputs_Actuals!E45,IF(Assumptions!E$201&lt;Contract_Register!$T$10,0,Contract_Register!$J$10*(1+Contract_Register!$M$10/2*Assumptions!$F$178)*IF(AND(Assumptions!E$201&gt;Contract_Register!$T$10,MOD(Assumptions!E$201-Contract_Register!$T$10,Assumptions!$C$90)=0),Contract_Register!$S$10,1)))</f>
        <v>22</v>
      </c>
      <c r="F50" s="67" t="n">
        <f aca="false">IF(F$5="A",Inputs_Actuals!F45,IF(Assumptions!F$201&lt;Contract_Register!$T$10,0,E50*(1+Contract_Register!$M$10/2*Assumptions!$F$178)*IF(AND(Assumptions!F$201&gt;Contract_Register!$T$10,MOD(Assumptions!F$201-Contract_Register!$T$10,Assumptions!$C$90)=0),Contract_Register!$S$10,1)))</f>
        <v>22</v>
      </c>
      <c r="G50" s="67" t="n">
        <f aca="false">IF(G$5="A",Inputs_Actuals!G45,IF(Assumptions!G$201&lt;Contract_Register!$T$10,0,F50*(1+Contract_Register!$M$10/2*Assumptions!$F$178)*IF(AND(Assumptions!G$201&gt;Contract_Register!$T$10,MOD(Assumptions!G$201-Contract_Register!$T$10,Assumptions!$C$90)=0),Contract_Register!$S$10,1)))</f>
        <v>22</v>
      </c>
      <c r="H50" s="67" t="n">
        <f aca="false">IF(H$5="A",Inputs_Actuals!H45,IF(Assumptions!H$201&lt;Contract_Register!$T$10,0,G50*(1+Contract_Register!$M$10/2*Assumptions!$F$178)*IF(AND(Assumptions!H$201&gt;Contract_Register!$T$10,MOD(Assumptions!H$201-Contract_Register!$T$10,Assumptions!$C$90)=0),Contract_Register!$S$10,1)))</f>
        <v>22</v>
      </c>
      <c r="I50" s="67" t="n">
        <f aca="false">IF(I$5="A",Inputs_Actuals!I45,IF(Assumptions!I$201&lt;Contract_Register!$T$10,0,H50*(1+Contract_Register!$M$10/2*Assumptions!$F$178)*IF(AND(Assumptions!I$201&gt;Contract_Register!$T$10,MOD(Assumptions!I$201-Contract_Register!$T$10,Assumptions!$C$90)=0),Contract_Register!$S$10,1)))</f>
        <v>22</v>
      </c>
      <c r="J50" s="67" t="n">
        <f aca="false">IF(J$5="A",Inputs_Actuals!J45,IF(Assumptions!J$201&lt;Contract_Register!$T$10,0,I50*(1+Contract_Register!$M$10/2*Assumptions!$F$178)*IF(AND(Assumptions!J$201&gt;Contract_Register!$T$10,MOD(Assumptions!J$201-Contract_Register!$T$10,Assumptions!$C$90)=0),Contract_Register!$S$10,1)))</f>
        <v>22</v>
      </c>
      <c r="K50" s="67" t="n">
        <f aca="false">IF(K$5="A",Inputs_Actuals!K45,IF(Assumptions!K$201&lt;Contract_Register!$T$10,0,J50*(1+Contract_Register!$M$10/2*Assumptions!$F$178)*IF(AND(Assumptions!K$201&gt;Contract_Register!$T$10,MOD(Assumptions!K$201-Contract_Register!$T$10,Assumptions!$C$90)=0),Contract_Register!$S$10,1)))</f>
        <v>22</v>
      </c>
      <c r="L50" s="67" t="n">
        <f aca="false">IF(L$5="A",Inputs_Actuals!L45,IF(Assumptions!L$201&lt;Contract_Register!$T$10,0,K50*(1+Contract_Register!$M$10/2*Assumptions!$F$178)*IF(AND(Assumptions!L$201&gt;Contract_Register!$T$10,MOD(Assumptions!L$201-Contract_Register!$T$10,Assumptions!$C$90)=0),Contract_Register!$S$10,1)))</f>
        <v>22</v>
      </c>
      <c r="M50" s="67" t="n">
        <f aca="false">IF(M$5="A",Inputs_Actuals!M45,IF(Assumptions!M$201&lt;Contract_Register!$T$10,0,L50*(1+Contract_Register!$M$10/2*Assumptions!$F$178)*IF(AND(Assumptions!M$201&gt;Contract_Register!$T$10,MOD(Assumptions!M$201-Contract_Register!$T$10,Assumptions!$C$90)=0),Contract_Register!$S$10,1)))</f>
        <v>22.022</v>
      </c>
      <c r="N50" s="67" t="n">
        <f aca="false">IF(N$5="A",Inputs_Actuals!N45,IF(Assumptions!N$201&lt;Contract_Register!$T$10,0,M50*(1+Contract_Register!$M$10/2*Assumptions!$F$178)*IF(AND(Assumptions!N$201&gt;Contract_Register!$T$10,MOD(Assumptions!N$201-Contract_Register!$T$10,Assumptions!$C$90)=0),Contract_Register!$S$10,1)))</f>
        <v>22.044022</v>
      </c>
      <c r="O50" s="67" t="n">
        <f aca="false">IF(O$5="A",Inputs_Actuals!O45,IF(Assumptions!O$201&lt;Contract_Register!$T$10,0,N50*(1+Contract_Register!$M$10/2*Assumptions!$F$178)*IF(AND(Assumptions!O$201&gt;Contract_Register!$T$10,MOD(Assumptions!O$201-Contract_Register!$T$10,Assumptions!$C$90)=0),Contract_Register!$S$10,1)))</f>
        <v>22.066066022</v>
      </c>
      <c r="P50" s="67" t="n">
        <f aca="false">IF(P$5="A",Inputs_Actuals!P45,IF(Assumptions!P$201&lt;Contract_Register!$T$10,0,O50*(1+Contract_Register!$M$10/2*Assumptions!$F$178)*IF(AND(Assumptions!P$201&gt;Contract_Register!$T$10,MOD(Assumptions!P$201-Contract_Register!$T$10,Assumptions!$C$90)=0),Contract_Register!$S$10,1)))</f>
        <v>22.088132088022</v>
      </c>
      <c r="Q50" s="67" t="n">
        <f aca="false">IF(Q$5="A",Inputs_Actuals!Q45,IF(Assumptions!Q$201&lt;Contract_Register!$T$10,0,P50*(1+Contract_Register!$M$10/2*Assumptions!$F$178)*IF(AND(Assumptions!Q$201&gt;Contract_Register!$T$10,MOD(Assumptions!Q$201-Contract_Register!$T$10,Assumptions!$C$90)=0),Contract_Register!$S$10,1)))</f>
        <v>22.11022022011</v>
      </c>
      <c r="R50" s="67" t="n">
        <f aca="false">IF(R$5="A",Inputs_Actuals!R45,IF(Assumptions!R$201&lt;Contract_Register!$T$10,0,Q50*(1+Contract_Register!$M$10/2*Assumptions!$F$178)*IF(AND(Assumptions!R$201&gt;Contract_Register!$T$10,MOD(Assumptions!R$201-Contract_Register!$T$10,Assumptions!$C$90)=0),Contract_Register!$S$10,1)))</f>
        <v>22.1323304403301</v>
      </c>
      <c r="S50" s="67" t="n">
        <f aca="false">IF(S$5="A",Inputs_Actuals!S45,IF(Assumptions!S$201&lt;Contract_Register!$T$10,0,R50*(1+Contract_Register!$M$10/2*Assumptions!$F$178)*IF(AND(Assumptions!S$201&gt;Contract_Register!$T$10,MOD(Assumptions!S$201-Contract_Register!$T$10,Assumptions!$C$90)=0),Contract_Register!$S$10,1)))</f>
        <v>22.1544627707704</v>
      </c>
      <c r="T50" s="67" t="n">
        <f aca="false">IF(T$5="A",Inputs_Actuals!T45,IF(Assumptions!T$201&lt;Contract_Register!$T$10,0,S50*(1+Contract_Register!$M$10/2*Assumptions!$F$178)*IF(AND(Assumptions!T$201&gt;Contract_Register!$T$10,MOD(Assumptions!T$201-Contract_Register!$T$10,Assumptions!$C$90)=0),Contract_Register!$S$10,1)))</f>
        <v>22.1766172335412</v>
      </c>
      <c r="U50" s="67" t="n">
        <f aca="false">IF(U$5="A",Inputs_Actuals!U45,IF(Assumptions!U$201&lt;Contract_Register!$T$10,0,T50*(1+Contract_Register!$M$10/2*Assumptions!$F$178)*IF(AND(Assumptions!U$201&gt;Contract_Register!$T$10,MOD(Assumptions!U$201-Contract_Register!$T$10,Assumptions!$C$90)=0),Contract_Register!$S$10,1)))</f>
        <v>22.1987938507748</v>
      </c>
      <c r="V50" s="67" t="n">
        <f aca="false">IF(V$5="A",Inputs_Actuals!V45,IF(Assumptions!V$201&lt;Contract_Register!$T$10,0,U50*(1+Contract_Register!$M$10/2*Assumptions!$F$178)*IF(AND(Assumptions!V$201&gt;Contract_Register!$T$10,MOD(Assumptions!V$201-Contract_Register!$T$10,Assumptions!$C$90)=0),Contract_Register!$S$10,1)))</f>
        <v>22.2209926446255</v>
      </c>
      <c r="W50" s="67" t="n">
        <f aca="false">IF(W$5="A",Inputs_Actuals!W45,IF(Assumptions!W$201&lt;Contract_Register!$T$10,0,V50*(1+Contract_Register!$M$10/2*Assumptions!$F$178)*IF(AND(Assumptions!W$201&gt;Contract_Register!$T$10,MOD(Assumptions!W$201-Contract_Register!$T$10,Assumptions!$C$90)=0),Contract_Register!$S$10,1)))</f>
        <v>22.2432136372702</v>
      </c>
      <c r="X50" s="67" t="n">
        <f aca="false">IF(X$5="A",Inputs_Actuals!X45,IF(Assumptions!X$201&lt;Contract_Register!$T$10,0,W50*(1+Contract_Register!$M$10/2*Assumptions!$F$178)*IF(AND(Assumptions!X$201&gt;Contract_Register!$T$10,MOD(Assumptions!X$201-Contract_Register!$T$10,Assumptions!$C$90)=0),Contract_Register!$S$10,1)))</f>
        <v>22.2654568509074</v>
      </c>
      <c r="Y50" s="67" t="n">
        <f aca="false">IF(Y$5="A",Inputs_Actuals!Y45,IF(Assumptions!Y$201&lt;Contract_Register!$T$10,0,X50*(1+Contract_Register!$M$10/2*Assumptions!$F$178)*IF(AND(Assumptions!Y$201&gt;Contract_Register!$T$10,MOD(Assumptions!Y$201-Contract_Register!$T$10,Assumptions!$C$90)=0),Contract_Register!$S$10,1)))</f>
        <v>22.2877223077583</v>
      </c>
      <c r="Z50" s="67" t="n">
        <f aca="false">IF(Z$5="A",Inputs_Actuals!Z45,IF(Assumptions!Z$201&lt;Contract_Register!$T$10,0,Y50*(1+Contract_Register!$M$10/2*Assumptions!$F$178)*IF(AND(Assumptions!Z$201&gt;Contract_Register!$T$10,MOD(Assumptions!Z$201-Contract_Register!$T$10,Assumptions!$C$90)=0),Contract_Register!$S$10,1)))</f>
        <v>22.3100100300661</v>
      </c>
      <c r="AA50" s="67" t="n">
        <f aca="false">IF(AA$5="A",Inputs_Actuals!AA45,IF(Assumptions!AA$201&lt;Contract_Register!$T$10,0,Z50*(1+Contract_Register!$M$10/2*Assumptions!$F$178)*IF(AND(Assumptions!AA$201&gt;Contract_Register!$T$10,MOD(Assumptions!AA$201-Contract_Register!$T$10,Assumptions!$C$90)=0),Contract_Register!$S$10,1)))</f>
        <v>22.3323200400961</v>
      </c>
      <c r="AB50" s="67" t="n">
        <f aca="false">IF(AB$5="A",Inputs_Actuals!AB45,IF(Assumptions!AB$201&lt;Contract_Register!$T$10,0,AA50*(1+Contract_Register!$M$10/2*Assumptions!$F$178)*IF(AND(Assumptions!AB$201&gt;Contract_Register!$T$10,MOD(Assumptions!AB$201-Contract_Register!$T$10,Assumptions!$C$90)=0),Contract_Register!$S$10,1)))</f>
        <v>22.3546523601362</v>
      </c>
    </row>
    <row r="51" customFormat="false" ht="15" hidden="false" customHeight="false" outlineLevel="0" collapsed="false">
      <c r="A51" s="27" t="s">
        <v>817</v>
      </c>
      <c r="B51" s="63" t="s">
        <v>774</v>
      </c>
      <c r="C51" s="66" t="n">
        <f aca="false">P51</f>
        <v>87.348522348087</v>
      </c>
      <c r="D51" s="66" t="n">
        <f aca="false">AB51</f>
        <v>82.2143146572101</v>
      </c>
      <c r="E51" s="67" t="n">
        <f aca="false">IF(E$5="A",Inputs_Actuals!E46,IF(Assumptions!E$201&lt;Contract_Register!$T$11,0,Contract_Register!$J$11*(1+Contract_Register!$M$11/2*Assumptions!$F$178)*IF(AND(Assumptions!E$201&gt;Contract_Register!$T$11,MOD(Assumptions!E$201-Contract_Register!$T$11,Assumptions!$C$90)=0),Contract_Register!$S$11,1)))</f>
        <v>85</v>
      </c>
      <c r="F51" s="67" t="n">
        <f aca="false">IF(F$5="A",Inputs_Actuals!F46,IF(Assumptions!F$201&lt;Contract_Register!$T$11,0,E51*(1+Contract_Register!$M$11/2*Assumptions!$F$178)*IF(AND(Assumptions!F$201&gt;Contract_Register!$T$11,MOD(Assumptions!F$201-Contract_Register!$T$11,Assumptions!$C$90)=0),Contract_Register!$S$11,1)))</f>
        <v>85</v>
      </c>
      <c r="G51" s="67" t="n">
        <f aca="false">IF(G$5="A",Inputs_Actuals!G46,IF(Assumptions!G$201&lt;Contract_Register!$T$11,0,F51*(1+Contract_Register!$M$11/2*Assumptions!$F$178)*IF(AND(Assumptions!G$201&gt;Contract_Register!$T$11,MOD(Assumptions!G$201-Contract_Register!$T$11,Assumptions!$C$90)=0),Contract_Register!$S$11,1)))</f>
        <v>85</v>
      </c>
      <c r="H51" s="67" t="n">
        <f aca="false">IF(H$5="A",Inputs_Actuals!H46,IF(Assumptions!H$201&lt;Contract_Register!$T$11,0,G51*(1+Contract_Register!$M$11/2*Assumptions!$F$178)*IF(AND(Assumptions!H$201&gt;Contract_Register!$T$11,MOD(Assumptions!H$201-Contract_Register!$T$11,Assumptions!$C$90)=0),Contract_Register!$S$11,1)))</f>
        <v>85</v>
      </c>
      <c r="I51" s="67" t="n">
        <f aca="false">IF(I$5="A",Inputs_Actuals!I46,IF(Assumptions!I$201&lt;Contract_Register!$T$11,0,H51*(1+Contract_Register!$M$11/2*Assumptions!$F$178)*IF(AND(Assumptions!I$201&gt;Contract_Register!$T$11,MOD(Assumptions!I$201-Contract_Register!$T$11,Assumptions!$C$90)=0),Contract_Register!$S$11,1)))</f>
        <v>86</v>
      </c>
      <c r="J51" s="67" t="n">
        <f aca="false">IF(J$5="A",Inputs_Actuals!J46,IF(Assumptions!J$201&lt;Contract_Register!$T$11,0,I51*(1+Contract_Register!$M$11/2*Assumptions!$F$178)*IF(AND(Assumptions!J$201&gt;Contract_Register!$T$11,MOD(Assumptions!J$201-Contract_Register!$T$11,Assumptions!$C$90)=0),Contract_Register!$S$11,1)))</f>
        <v>86</v>
      </c>
      <c r="K51" s="67" t="n">
        <f aca="false">IF(K$5="A",Inputs_Actuals!K46,IF(Assumptions!K$201&lt;Contract_Register!$T$11,0,J51*(1+Contract_Register!$M$11/2*Assumptions!$F$178)*IF(AND(Assumptions!K$201&gt;Contract_Register!$T$11,MOD(Assumptions!K$201-Contract_Register!$T$11,Assumptions!$C$90)=0),Contract_Register!$S$11,1)))</f>
        <v>86</v>
      </c>
      <c r="L51" s="67" t="n">
        <f aca="false">IF(L$5="A",Inputs_Actuals!L46,IF(Assumptions!L$201&lt;Contract_Register!$T$11,0,K51*(1+Contract_Register!$M$11/2*Assumptions!$F$178)*IF(AND(Assumptions!L$201&gt;Contract_Register!$T$11,MOD(Assumptions!L$201-Contract_Register!$T$11,Assumptions!$C$90)=0),Contract_Register!$S$11,1)))</f>
        <v>87</v>
      </c>
      <c r="M51" s="67" t="n">
        <f aca="false">IF(M$5="A",Inputs_Actuals!M46,IF(Assumptions!M$201&lt;Contract_Register!$T$11,0,L51*(1+Contract_Register!$M$11/2*Assumptions!$F$178)*IF(AND(Assumptions!M$201&gt;Contract_Register!$T$11,MOD(Assumptions!M$201-Contract_Register!$T$11,Assumptions!$C$90)=0),Contract_Register!$S$11,1)))</f>
        <v>87.087</v>
      </c>
      <c r="N51" s="67" t="n">
        <f aca="false">IF(N$5="A",Inputs_Actuals!N46,IF(Assumptions!N$201&lt;Contract_Register!$T$11,0,M51*(1+Contract_Register!$M$11/2*Assumptions!$F$178)*IF(AND(Assumptions!N$201&gt;Contract_Register!$T$11,MOD(Assumptions!N$201-Contract_Register!$T$11,Assumptions!$C$90)=0),Contract_Register!$S$11,1)))</f>
        <v>87.174087</v>
      </c>
      <c r="O51" s="67" t="n">
        <f aca="false">IF(O$5="A",Inputs_Actuals!O46,IF(Assumptions!O$201&lt;Contract_Register!$T$11,0,N51*(1+Contract_Register!$M$11/2*Assumptions!$F$178)*IF(AND(Assumptions!O$201&gt;Contract_Register!$T$11,MOD(Assumptions!O$201-Contract_Register!$T$11,Assumptions!$C$90)=0),Contract_Register!$S$11,1)))</f>
        <v>87.261261087</v>
      </c>
      <c r="P51" s="67" t="n">
        <f aca="false">IF(P$5="A",Inputs_Actuals!P46,IF(Assumptions!P$201&lt;Contract_Register!$T$11,0,O51*(1+Contract_Register!$M$11/2*Assumptions!$F$178)*IF(AND(Assumptions!P$201&gt;Contract_Register!$T$11,MOD(Assumptions!P$201-Contract_Register!$T$11,Assumptions!$C$90)=0),Contract_Register!$S$11,1)))</f>
        <v>87.348522348087</v>
      </c>
      <c r="Q51" s="67" t="n">
        <f aca="false">IF(Q$5="A",Inputs_Actuals!Q46,IF(Assumptions!Q$201&lt;Contract_Register!$T$11,0,P51*(1+Contract_Register!$M$11/2*Assumptions!$F$178)*IF(AND(Assumptions!Q$201&gt;Contract_Register!$T$11,MOD(Assumptions!Q$201-Contract_Register!$T$11,Assumptions!$C$90)=0),Contract_Register!$S$11,1)))</f>
        <v>87.4358708704351</v>
      </c>
      <c r="R51" s="67" t="n">
        <f aca="false">IF(R$5="A",Inputs_Actuals!R46,IF(Assumptions!R$201&lt;Contract_Register!$T$11,0,Q51*(1+Contract_Register!$M$11/2*Assumptions!$F$178)*IF(AND(Assumptions!R$201&gt;Contract_Register!$T$11,MOD(Assumptions!R$201-Contract_Register!$T$11,Assumptions!$C$90)=0),Contract_Register!$S$11,1)))</f>
        <v>87.5233067413055</v>
      </c>
      <c r="S51" s="67" t="n">
        <f aca="false">IF(S$5="A",Inputs_Actuals!S46,IF(Assumptions!S$201&lt;Contract_Register!$T$11,0,R51*(1+Contract_Register!$M$11/2*Assumptions!$F$178)*IF(AND(Assumptions!S$201&gt;Contract_Register!$T$11,MOD(Assumptions!S$201-Contract_Register!$T$11,Assumptions!$C$90)=0),Contract_Register!$S$11,1)))</f>
        <v>87.6108300480468</v>
      </c>
      <c r="T51" s="67" t="n">
        <f aca="false">IF(T$5="A",Inputs_Actuals!T46,IF(Assumptions!T$201&lt;Contract_Register!$T$11,0,S51*(1+Contract_Register!$M$11/2*Assumptions!$F$178)*IF(AND(Assumptions!T$201&gt;Contract_Register!$T$11,MOD(Assumptions!T$201-Contract_Register!$T$11,Assumptions!$C$90)=0),Contract_Register!$S$11,1)))</f>
        <v>87.6984408780948</v>
      </c>
      <c r="U51" s="67" t="n">
        <f aca="false">IF(U$5="A",Inputs_Actuals!U46,IF(Assumptions!U$201&lt;Contract_Register!$T$11,0,T51*(1+Contract_Register!$M$11/2*Assumptions!$F$178)*IF(AND(Assumptions!U$201&gt;Contract_Register!$T$11,MOD(Assumptions!U$201-Contract_Register!$T$11,Assumptions!$C$90)=0),Contract_Register!$S$11,1)))</f>
        <v>87.7861393189729</v>
      </c>
      <c r="V51" s="67" t="n">
        <f aca="false">IF(V$5="A",Inputs_Actuals!V46,IF(Assumptions!V$201&lt;Contract_Register!$T$11,0,U51*(1+Contract_Register!$M$11/2*Assumptions!$F$178)*IF(AND(Assumptions!V$201&gt;Contract_Register!$T$11,MOD(Assumptions!V$201-Contract_Register!$T$11,Assumptions!$C$90)=0),Contract_Register!$S$11,1)))</f>
        <v>87.8739254582919</v>
      </c>
      <c r="W51" s="67" t="n">
        <f aca="false">IF(W$5="A",Inputs_Actuals!W46,IF(Assumptions!W$201&lt;Contract_Register!$T$11,0,V51*(1+Contract_Register!$M$11/2*Assumptions!$F$178)*IF(AND(Assumptions!W$201&gt;Contract_Register!$T$11,MOD(Assumptions!W$201-Contract_Register!$T$11,Assumptions!$C$90)=0),Contract_Register!$S$11,1)))</f>
        <v>87.9617993837501</v>
      </c>
      <c r="X51" s="67" t="n">
        <f aca="false">IF(X$5="A",Inputs_Actuals!X46,IF(Assumptions!X$201&lt;Contract_Register!$T$11,0,W51*(1+Contract_Register!$M$11/2*Assumptions!$F$178)*IF(AND(Assumptions!X$201&gt;Contract_Register!$T$11,MOD(Assumptions!X$201-Contract_Register!$T$11,Assumptions!$C$90)=0),Contract_Register!$S$11,1)))</f>
        <v>81.8862779003145</v>
      </c>
      <c r="Y51" s="67" t="n">
        <f aca="false">IF(Y$5="A",Inputs_Actuals!Y46,IF(Assumptions!Y$201&lt;Contract_Register!$T$11,0,X51*(1+Contract_Register!$M$11/2*Assumptions!$F$178)*IF(AND(Assumptions!Y$201&gt;Contract_Register!$T$11,MOD(Assumptions!Y$201-Contract_Register!$T$11,Assumptions!$C$90)=0),Contract_Register!$S$11,1)))</f>
        <v>81.9681641782148</v>
      </c>
      <c r="Z51" s="67" t="n">
        <f aca="false">IF(Z$5="A",Inputs_Actuals!Z46,IF(Assumptions!Z$201&lt;Contract_Register!$T$11,0,Y51*(1+Contract_Register!$M$11/2*Assumptions!$F$178)*IF(AND(Assumptions!Z$201&gt;Contract_Register!$T$11,MOD(Assumptions!Z$201-Contract_Register!$T$11,Assumptions!$C$90)=0),Contract_Register!$S$11,1)))</f>
        <v>82.050132342393</v>
      </c>
      <c r="AA51" s="67" t="n">
        <f aca="false">IF(AA$5="A",Inputs_Actuals!AA46,IF(Assumptions!AA$201&lt;Contract_Register!$T$11,0,Z51*(1+Contract_Register!$M$11/2*Assumptions!$F$178)*IF(AND(Assumptions!AA$201&gt;Contract_Register!$T$11,MOD(Assumptions!AA$201-Contract_Register!$T$11,Assumptions!$C$90)=0),Contract_Register!$S$11,1)))</f>
        <v>82.1321824747354</v>
      </c>
      <c r="AB51" s="67" t="n">
        <f aca="false">IF(AB$5="A",Inputs_Actuals!AB46,IF(Assumptions!AB$201&lt;Contract_Register!$T$11,0,AA51*(1+Contract_Register!$M$11/2*Assumptions!$F$178)*IF(AND(Assumptions!AB$201&gt;Contract_Register!$T$11,MOD(Assumptions!AB$201-Contract_Register!$T$11,Assumptions!$C$90)=0),Contract_Register!$S$11,1)))</f>
        <v>82.2143146572101</v>
      </c>
    </row>
    <row r="52" customFormat="false" ht="15" hidden="false" customHeight="false" outlineLevel="0" collapsed="false">
      <c r="A52" s="27" t="s">
        <v>818</v>
      </c>
      <c r="B52" s="63" t="s">
        <v>774</v>
      </c>
      <c r="C52" s="66" t="n">
        <f aca="false">P52</f>
        <v>40.0800600200025</v>
      </c>
      <c r="D52" s="66" t="n">
        <f aca="false">AB52</f>
        <v>40.3212028045554</v>
      </c>
      <c r="E52" s="67" t="n">
        <f aca="false">IF(E$5="A",Inputs_Actuals!E47,IF(Assumptions!E$201&lt;Contract_Register!$T$12,0,Contract_Register!$J$12*(1+Contract_Register!$M$12/2*Assumptions!$F$178)*IF(AND(Assumptions!E$201&gt;Contract_Register!$T$12,MOD(Assumptions!E$201-Contract_Register!$T$12,Assumptions!$C$90)=0),Contract_Register!$S$12,1)))</f>
        <v>40</v>
      </c>
      <c r="F52" s="67" t="n">
        <f aca="false">IF(F$5="A",Inputs_Actuals!F47,IF(Assumptions!F$201&lt;Contract_Register!$T$12,0,E52*(1+Contract_Register!$M$12/2*Assumptions!$F$178)*IF(AND(Assumptions!F$201&gt;Contract_Register!$T$12,MOD(Assumptions!F$201-Contract_Register!$T$12,Assumptions!$C$90)=0),Contract_Register!$S$12,1)))</f>
        <v>40</v>
      </c>
      <c r="G52" s="67" t="n">
        <f aca="false">IF(G$5="A",Inputs_Actuals!G47,IF(Assumptions!G$201&lt;Contract_Register!$T$12,0,F52*(1+Contract_Register!$M$12/2*Assumptions!$F$178)*IF(AND(Assumptions!G$201&gt;Contract_Register!$T$12,MOD(Assumptions!G$201-Contract_Register!$T$12,Assumptions!$C$90)=0),Contract_Register!$S$12,1)))</f>
        <v>40</v>
      </c>
      <c r="H52" s="67" t="n">
        <f aca="false">IF(H$5="A",Inputs_Actuals!H47,IF(Assumptions!H$201&lt;Contract_Register!$T$12,0,G52*(1+Contract_Register!$M$12/2*Assumptions!$F$178)*IF(AND(Assumptions!H$201&gt;Contract_Register!$T$12,MOD(Assumptions!H$201-Contract_Register!$T$12,Assumptions!$C$90)=0),Contract_Register!$S$12,1)))</f>
        <v>40</v>
      </c>
      <c r="I52" s="67" t="n">
        <f aca="false">IF(I$5="A",Inputs_Actuals!I47,IF(Assumptions!I$201&lt;Contract_Register!$T$12,0,H52*(1+Contract_Register!$M$12/2*Assumptions!$F$178)*IF(AND(Assumptions!I$201&gt;Contract_Register!$T$12,MOD(Assumptions!I$201-Contract_Register!$T$12,Assumptions!$C$90)=0),Contract_Register!$S$12,1)))</f>
        <v>40</v>
      </c>
      <c r="J52" s="67" t="n">
        <f aca="false">IF(J$5="A",Inputs_Actuals!J47,IF(Assumptions!J$201&lt;Contract_Register!$T$12,0,I52*(1+Contract_Register!$M$12/2*Assumptions!$F$178)*IF(AND(Assumptions!J$201&gt;Contract_Register!$T$12,MOD(Assumptions!J$201-Contract_Register!$T$12,Assumptions!$C$90)=0),Contract_Register!$S$12,1)))</f>
        <v>40</v>
      </c>
      <c r="K52" s="67" t="n">
        <f aca="false">IF(K$5="A",Inputs_Actuals!K47,IF(Assumptions!K$201&lt;Contract_Register!$T$12,0,J52*(1+Contract_Register!$M$12/2*Assumptions!$F$178)*IF(AND(Assumptions!K$201&gt;Contract_Register!$T$12,MOD(Assumptions!K$201-Contract_Register!$T$12,Assumptions!$C$90)=0),Contract_Register!$S$12,1)))</f>
        <v>40</v>
      </c>
      <c r="L52" s="67" t="n">
        <f aca="false">IF(L$5="A",Inputs_Actuals!L47,IF(Assumptions!L$201&lt;Contract_Register!$T$12,0,K52*(1+Contract_Register!$M$12/2*Assumptions!$F$178)*IF(AND(Assumptions!L$201&gt;Contract_Register!$T$12,MOD(Assumptions!L$201-Contract_Register!$T$12,Assumptions!$C$90)=0),Contract_Register!$S$12,1)))</f>
        <v>40</v>
      </c>
      <c r="M52" s="67" t="n">
        <f aca="false">IF(M$5="A",Inputs_Actuals!M47,IF(Assumptions!M$201&lt;Contract_Register!$T$12,0,L52*(1+Contract_Register!$M$12/2*Assumptions!$F$178)*IF(AND(Assumptions!M$201&gt;Contract_Register!$T$12,MOD(Assumptions!M$201-Contract_Register!$T$12,Assumptions!$C$90)=0),Contract_Register!$S$12,1)))</f>
        <v>40.02</v>
      </c>
      <c r="N52" s="67" t="n">
        <f aca="false">IF(N$5="A",Inputs_Actuals!N47,IF(Assumptions!N$201&lt;Contract_Register!$T$12,0,M52*(1+Contract_Register!$M$12/2*Assumptions!$F$178)*IF(AND(Assumptions!N$201&gt;Contract_Register!$T$12,MOD(Assumptions!N$201-Contract_Register!$T$12,Assumptions!$C$90)=0),Contract_Register!$S$12,1)))</f>
        <v>40.04001</v>
      </c>
      <c r="O52" s="67" t="n">
        <f aca="false">IF(O$5="A",Inputs_Actuals!O47,IF(Assumptions!O$201&lt;Contract_Register!$T$12,0,N52*(1+Contract_Register!$M$12/2*Assumptions!$F$178)*IF(AND(Assumptions!O$201&gt;Contract_Register!$T$12,MOD(Assumptions!O$201-Contract_Register!$T$12,Assumptions!$C$90)=0),Contract_Register!$S$12,1)))</f>
        <v>40.060030005</v>
      </c>
      <c r="P52" s="67" t="n">
        <f aca="false">IF(P$5="A",Inputs_Actuals!P47,IF(Assumptions!P$201&lt;Contract_Register!$T$12,0,O52*(1+Contract_Register!$M$12/2*Assumptions!$F$178)*IF(AND(Assumptions!P$201&gt;Contract_Register!$T$12,MOD(Assumptions!P$201-Contract_Register!$T$12,Assumptions!$C$90)=0),Contract_Register!$S$12,1)))</f>
        <v>40.0800600200025</v>
      </c>
      <c r="Q52" s="67" t="n">
        <f aca="false">IF(Q$5="A",Inputs_Actuals!Q47,IF(Assumptions!Q$201&lt;Contract_Register!$T$12,0,P52*(1+Contract_Register!$M$12/2*Assumptions!$F$178)*IF(AND(Assumptions!Q$201&gt;Contract_Register!$T$12,MOD(Assumptions!Q$201-Contract_Register!$T$12,Assumptions!$C$90)=0),Contract_Register!$S$12,1)))</f>
        <v>40.1001000500125</v>
      </c>
      <c r="R52" s="67" t="n">
        <f aca="false">IF(R$5="A",Inputs_Actuals!R47,IF(Assumptions!R$201&lt;Contract_Register!$T$12,0,Q52*(1+Contract_Register!$M$12/2*Assumptions!$F$178)*IF(AND(Assumptions!R$201&gt;Contract_Register!$T$12,MOD(Assumptions!R$201-Contract_Register!$T$12,Assumptions!$C$90)=0),Contract_Register!$S$12,1)))</f>
        <v>40.1201501000375</v>
      </c>
      <c r="S52" s="67" t="n">
        <f aca="false">IF(S$5="A",Inputs_Actuals!S47,IF(Assumptions!S$201&lt;Contract_Register!$T$12,0,R52*(1+Contract_Register!$M$12/2*Assumptions!$F$178)*IF(AND(Assumptions!S$201&gt;Contract_Register!$T$12,MOD(Assumptions!S$201-Contract_Register!$T$12,Assumptions!$C$90)=0),Contract_Register!$S$12,1)))</f>
        <v>40.1402101750875</v>
      </c>
      <c r="T52" s="67" t="n">
        <f aca="false">IF(T$5="A",Inputs_Actuals!T47,IF(Assumptions!T$201&lt;Contract_Register!$T$12,0,S52*(1+Contract_Register!$M$12/2*Assumptions!$F$178)*IF(AND(Assumptions!T$201&gt;Contract_Register!$T$12,MOD(Assumptions!T$201-Contract_Register!$T$12,Assumptions!$C$90)=0),Contract_Register!$S$12,1)))</f>
        <v>40.1602802801751</v>
      </c>
      <c r="U52" s="67" t="n">
        <f aca="false">IF(U$5="A",Inputs_Actuals!U47,IF(Assumptions!U$201&lt;Contract_Register!$T$12,0,T52*(1+Contract_Register!$M$12/2*Assumptions!$F$178)*IF(AND(Assumptions!U$201&gt;Contract_Register!$T$12,MOD(Assumptions!U$201-Contract_Register!$T$12,Assumptions!$C$90)=0),Contract_Register!$S$12,1)))</f>
        <v>40.1803604203152</v>
      </c>
      <c r="V52" s="67" t="n">
        <f aca="false">IF(V$5="A",Inputs_Actuals!V47,IF(Assumptions!V$201&lt;Contract_Register!$T$12,0,U52*(1+Contract_Register!$M$12/2*Assumptions!$F$178)*IF(AND(Assumptions!V$201&gt;Contract_Register!$T$12,MOD(Assumptions!V$201-Contract_Register!$T$12,Assumptions!$C$90)=0),Contract_Register!$S$12,1)))</f>
        <v>40.2004506005253</v>
      </c>
      <c r="W52" s="67" t="n">
        <f aca="false">IF(W$5="A",Inputs_Actuals!W47,IF(Assumptions!W$201&lt;Contract_Register!$T$12,0,V52*(1+Contract_Register!$M$12/2*Assumptions!$F$178)*IF(AND(Assumptions!W$201&gt;Contract_Register!$T$12,MOD(Assumptions!W$201-Contract_Register!$T$12,Assumptions!$C$90)=0),Contract_Register!$S$12,1)))</f>
        <v>40.2205508258256</v>
      </c>
      <c r="X52" s="67" t="n">
        <f aca="false">IF(X$5="A",Inputs_Actuals!X47,IF(Assumptions!X$201&lt;Contract_Register!$T$12,0,W52*(1+Contract_Register!$M$12/2*Assumptions!$F$178)*IF(AND(Assumptions!X$201&gt;Contract_Register!$T$12,MOD(Assumptions!X$201-Contract_Register!$T$12,Assumptions!$C$90)=0),Contract_Register!$S$12,1)))</f>
        <v>40.2406611012385</v>
      </c>
      <c r="Y52" s="67" t="n">
        <f aca="false">IF(Y$5="A",Inputs_Actuals!Y47,IF(Assumptions!Y$201&lt;Contract_Register!$T$12,0,X52*(1+Contract_Register!$M$12/2*Assumptions!$F$178)*IF(AND(Assumptions!Y$201&gt;Contract_Register!$T$12,MOD(Assumptions!Y$201-Contract_Register!$T$12,Assumptions!$C$90)=0),Contract_Register!$S$12,1)))</f>
        <v>40.2607814317891</v>
      </c>
      <c r="Z52" s="67" t="n">
        <f aca="false">IF(Z$5="A",Inputs_Actuals!Z47,IF(Assumptions!Z$201&lt;Contract_Register!$T$12,0,Y52*(1+Contract_Register!$M$12/2*Assumptions!$F$178)*IF(AND(Assumptions!Z$201&gt;Contract_Register!$T$12,MOD(Assumptions!Z$201-Contract_Register!$T$12,Assumptions!$C$90)=0),Contract_Register!$S$12,1)))</f>
        <v>40.280911822505</v>
      </c>
      <c r="AA52" s="67" t="n">
        <f aca="false">IF(AA$5="A",Inputs_Actuals!AA47,IF(Assumptions!AA$201&lt;Contract_Register!$T$12,0,Z52*(1+Contract_Register!$M$12/2*Assumptions!$F$178)*IF(AND(Assumptions!AA$201&gt;Contract_Register!$T$12,MOD(Assumptions!AA$201-Contract_Register!$T$12,Assumptions!$C$90)=0),Contract_Register!$S$12,1)))</f>
        <v>40.3010522784162</v>
      </c>
      <c r="AB52" s="67" t="n">
        <f aca="false">IF(AB$5="A",Inputs_Actuals!AB47,IF(Assumptions!AB$201&lt;Contract_Register!$T$12,0,AA52*(1+Contract_Register!$M$12/2*Assumptions!$F$178)*IF(AND(Assumptions!AB$201&gt;Contract_Register!$T$12,MOD(Assumptions!AB$201-Contract_Register!$T$12,Assumptions!$C$90)=0),Contract_Register!$S$12,1)))</f>
        <v>40.3212028045554</v>
      </c>
    </row>
    <row r="53" customFormat="false" ht="15" hidden="false" customHeight="false" outlineLevel="0" collapsed="false">
      <c r="A53" s="27" t="s">
        <v>819</v>
      </c>
      <c r="B53" s="63" t="s">
        <v>774</v>
      </c>
      <c r="C53" s="66" t="n">
        <f aca="false">P53</f>
        <v>31.1864189186569</v>
      </c>
      <c r="D53" s="66" t="n">
        <f aca="false">AB53</f>
        <v>29.5297588552914</v>
      </c>
      <c r="E53" s="67" t="n">
        <f aca="false">IF(E$5="A",Inputs_Actuals!E48,IF(Assumptions!E$201&lt;Contract_Register!$T$13,0,Contract_Register!$J$13*(1+Contract_Register!$M$13/2*Assumptions!$F$178)*IF(AND(Assumptions!E$201&gt;Contract_Register!$T$13,MOD(Assumptions!E$201-Contract_Register!$T$13,Assumptions!$C$90)=0),Contract_Register!$S$13,1)))</f>
        <v>30</v>
      </c>
      <c r="F53" s="67" t="n">
        <f aca="false">IF(F$5="A",Inputs_Actuals!F48,IF(Assumptions!F$201&lt;Contract_Register!$T$13,0,E53*(1+Contract_Register!$M$13/2*Assumptions!$F$178)*IF(AND(Assumptions!F$201&gt;Contract_Register!$T$13,MOD(Assumptions!F$201-Contract_Register!$T$13,Assumptions!$C$90)=0),Contract_Register!$S$13,1)))</f>
        <v>30</v>
      </c>
      <c r="G53" s="67" t="n">
        <f aca="false">IF(G$5="A",Inputs_Actuals!G48,IF(Assumptions!G$201&lt;Contract_Register!$T$13,0,F53*(1+Contract_Register!$M$13/2*Assumptions!$F$178)*IF(AND(Assumptions!G$201&gt;Contract_Register!$T$13,MOD(Assumptions!G$201-Contract_Register!$T$13,Assumptions!$C$90)=0),Contract_Register!$S$13,1)))</f>
        <v>30</v>
      </c>
      <c r="H53" s="67" t="n">
        <f aca="false">IF(H$5="A",Inputs_Actuals!H48,IF(Assumptions!H$201&lt;Contract_Register!$T$13,0,G53*(1+Contract_Register!$M$13/2*Assumptions!$F$178)*IF(AND(Assumptions!H$201&gt;Contract_Register!$T$13,MOD(Assumptions!H$201-Contract_Register!$T$13,Assumptions!$C$90)=0),Contract_Register!$S$13,1)))</f>
        <v>30</v>
      </c>
      <c r="I53" s="67" t="n">
        <f aca="false">IF(I$5="A",Inputs_Actuals!I48,IF(Assumptions!I$201&lt;Contract_Register!$T$13,0,H53*(1+Contract_Register!$M$13/2*Assumptions!$F$178)*IF(AND(Assumptions!I$201&gt;Contract_Register!$T$13,MOD(Assumptions!I$201-Contract_Register!$T$13,Assumptions!$C$90)=0),Contract_Register!$S$13,1)))</f>
        <v>31</v>
      </c>
      <c r="J53" s="67" t="n">
        <f aca="false">IF(J$5="A",Inputs_Actuals!J48,IF(Assumptions!J$201&lt;Contract_Register!$T$13,0,I53*(1+Contract_Register!$M$13/2*Assumptions!$F$178)*IF(AND(Assumptions!J$201&gt;Contract_Register!$T$13,MOD(Assumptions!J$201-Contract_Register!$T$13,Assumptions!$C$90)=0),Contract_Register!$S$13,1)))</f>
        <v>31</v>
      </c>
      <c r="K53" s="67" t="n">
        <f aca="false">IF(K$5="A",Inputs_Actuals!K48,IF(Assumptions!K$201&lt;Contract_Register!$T$13,0,J53*(1+Contract_Register!$M$13/2*Assumptions!$F$178)*IF(AND(Assumptions!K$201&gt;Contract_Register!$T$13,MOD(Assumptions!K$201-Contract_Register!$T$13,Assumptions!$C$90)=0),Contract_Register!$S$13,1)))</f>
        <v>31</v>
      </c>
      <c r="L53" s="67" t="n">
        <f aca="false">IF(L$5="A",Inputs_Actuals!L48,IF(Assumptions!L$201&lt;Contract_Register!$T$13,0,K53*(1+Contract_Register!$M$13/2*Assumptions!$F$178)*IF(AND(Assumptions!L$201&gt;Contract_Register!$T$13,MOD(Assumptions!L$201-Contract_Register!$T$13,Assumptions!$C$90)=0),Contract_Register!$S$13,1)))</f>
        <v>31</v>
      </c>
      <c r="M53" s="67" t="n">
        <f aca="false">IF(M$5="A",Inputs_Actuals!M48,IF(Assumptions!M$201&lt;Contract_Register!$T$13,0,L53*(1+Contract_Register!$M$13/2*Assumptions!$F$178)*IF(AND(Assumptions!M$201&gt;Contract_Register!$T$13,MOD(Assumptions!M$201-Contract_Register!$T$13,Assumptions!$C$90)=0),Contract_Register!$S$13,1)))</f>
        <v>31.0465</v>
      </c>
      <c r="N53" s="67" t="n">
        <f aca="false">IF(N$5="A",Inputs_Actuals!N48,IF(Assumptions!N$201&lt;Contract_Register!$T$13,0,M53*(1+Contract_Register!$M$13/2*Assumptions!$F$178)*IF(AND(Assumptions!N$201&gt;Contract_Register!$T$13,MOD(Assumptions!N$201-Contract_Register!$T$13,Assumptions!$C$90)=0),Contract_Register!$S$13,1)))</f>
        <v>31.09306975</v>
      </c>
      <c r="O53" s="67" t="n">
        <f aca="false">IF(O$5="A",Inputs_Actuals!O48,IF(Assumptions!O$201&lt;Contract_Register!$T$13,0,N53*(1+Contract_Register!$M$13/2*Assumptions!$F$178)*IF(AND(Assumptions!O$201&gt;Contract_Register!$T$13,MOD(Assumptions!O$201-Contract_Register!$T$13,Assumptions!$C$90)=0),Contract_Register!$S$13,1)))</f>
        <v>31.139709354625</v>
      </c>
      <c r="P53" s="67" t="n">
        <f aca="false">IF(P$5="A",Inputs_Actuals!P48,IF(Assumptions!P$201&lt;Contract_Register!$T$13,0,O53*(1+Contract_Register!$M$13/2*Assumptions!$F$178)*IF(AND(Assumptions!P$201&gt;Contract_Register!$T$13,MOD(Assumptions!P$201-Contract_Register!$T$13,Assumptions!$C$90)=0),Contract_Register!$S$13,1)))</f>
        <v>31.1864189186569</v>
      </c>
      <c r="Q53" s="67" t="n">
        <f aca="false">IF(Q$5="A",Inputs_Actuals!Q48,IF(Assumptions!Q$201&lt;Contract_Register!$T$13,0,P53*(1+Contract_Register!$M$13/2*Assumptions!$F$178)*IF(AND(Assumptions!Q$201&gt;Contract_Register!$T$13,MOD(Assumptions!Q$201-Contract_Register!$T$13,Assumptions!$C$90)=0),Contract_Register!$S$13,1)))</f>
        <v>31.2331985470349</v>
      </c>
      <c r="R53" s="67" t="n">
        <f aca="false">IF(R$5="A",Inputs_Actuals!R48,IF(Assumptions!R$201&lt;Contract_Register!$T$13,0,Q53*(1+Contract_Register!$M$13/2*Assumptions!$F$178)*IF(AND(Assumptions!R$201&gt;Contract_Register!$T$13,MOD(Assumptions!R$201-Contract_Register!$T$13,Assumptions!$C$90)=0),Contract_Register!$S$13,1)))</f>
        <v>29.0904449607156</v>
      </c>
      <c r="S53" s="67" t="n">
        <f aca="false">IF(S$5="A",Inputs_Actuals!S48,IF(Assumptions!S$201&lt;Contract_Register!$T$13,0,R53*(1+Contract_Register!$M$13/2*Assumptions!$F$178)*IF(AND(Assumptions!S$201&gt;Contract_Register!$T$13,MOD(Assumptions!S$201-Contract_Register!$T$13,Assumptions!$C$90)=0),Contract_Register!$S$13,1)))</f>
        <v>29.1340806281567</v>
      </c>
      <c r="T53" s="67" t="n">
        <f aca="false">IF(T$5="A",Inputs_Actuals!T48,IF(Assumptions!T$201&lt;Contract_Register!$T$13,0,S53*(1+Contract_Register!$M$13/2*Assumptions!$F$178)*IF(AND(Assumptions!T$201&gt;Contract_Register!$T$13,MOD(Assumptions!T$201-Contract_Register!$T$13,Assumptions!$C$90)=0),Contract_Register!$S$13,1)))</f>
        <v>29.1777817490989</v>
      </c>
      <c r="U53" s="67" t="n">
        <f aca="false">IF(U$5="A",Inputs_Actuals!U48,IF(Assumptions!U$201&lt;Contract_Register!$T$13,0,T53*(1+Contract_Register!$M$13/2*Assumptions!$F$178)*IF(AND(Assumptions!U$201&gt;Contract_Register!$T$13,MOD(Assumptions!U$201-Contract_Register!$T$13,Assumptions!$C$90)=0),Contract_Register!$S$13,1)))</f>
        <v>29.2215484217226</v>
      </c>
      <c r="V53" s="67" t="n">
        <f aca="false">IF(V$5="A",Inputs_Actuals!V48,IF(Assumptions!V$201&lt;Contract_Register!$T$13,0,U53*(1+Contract_Register!$M$13/2*Assumptions!$F$178)*IF(AND(Assumptions!V$201&gt;Contract_Register!$T$13,MOD(Assumptions!V$201-Contract_Register!$T$13,Assumptions!$C$90)=0),Contract_Register!$S$13,1)))</f>
        <v>29.2653807443552</v>
      </c>
      <c r="W53" s="67" t="n">
        <f aca="false">IF(W$5="A",Inputs_Actuals!W48,IF(Assumptions!W$201&lt;Contract_Register!$T$13,0,V53*(1+Contract_Register!$M$13/2*Assumptions!$F$178)*IF(AND(Assumptions!W$201&gt;Contract_Register!$T$13,MOD(Assumptions!W$201-Contract_Register!$T$13,Assumptions!$C$90)=0),Contract_Register!$S$13,1)))</f>
        <v>29.3092788154717</v>
      </c>
      <c r="X53" s="67" t="n">
        <f aca="false">IF(X$5="A",Inputs_Actuals!X48,IF(Assumptions!X$201&lt;Contract_Register!$T$13,0,W53*(1+Contract_Register!$M$13/2*Assumptions!$F$178)*IF(AND(Assumptions!X$201&gt;Contract_Register!$T$13,MOD(Assumptions!X$201-Contract_Register!$T$13,Assumptions!$C$90)=0),Contract_Register!$S$13,1)))</f>
        <v>29.3532427336949</v>
      </c>
      <c r="Y53" s="67" t="n">
        <f aca="false">IF(Y$5="A",Inputs_Actuals!Y48,IF(Assumptions!Y$201&lt;Contract_Register!$T$13,0,X53*(1+Contract_Register!$M$13/2*Assumptions!$F$178)*IF(AND(Assumptions!Y$201&gt;Contract_Register!$T$13,MOD(Assumptions!Y$201-Contract_Register!$T$13,Assumptions!$C$90)=0),Contract_Register!$S$13,1)))</f>
        <v>29.3972725977954</v>
      </c>
      <c r="Z53" s="67" t="n">
        <f aca="false">IF(Z$5="A",Inputs_Actuals!Z48,IF(Assumptions!Z$201&lt;Contract_Register!$T$13,0,Y53*(1+Contract_Register!$M$13/2*Assumptions!$F$178)*IF(AND(Assumptions!Z$201&gt;Contract_Register!$T$13,MOD(Assumptions!Z$201-Contract_Register!$T$13,Assumptions!$C$90)=0),Contract_Register!$S$13,1)))</f>
        <v>29.4413685066921</v>
      </c>
      <c r="AA53" s="67" t="n">
        <f aca="false">IF(AA$5="A",Inputs_Actuals!AA48,IF(Assumptions!AA$201&lt;Contract_Register!$T$13,0,Z53*(1+Contract_Register!$M$13/2*Assumptions!$F$178)*IF(AND(Assumptions!AA$201&gt;Contract_Register!$T$13,MOD(Assumptions!AA$201-Contract_Register!$T$13,Assumptions!$C$90)=0),Contract_Register!$S$13,1)))</f>
        <v>29.4855305594522</v>
      </c>
      <c r="AB53" s="67" t="n">
        <f aca="false">IF(AB$5="A",Inputs_Actuals!AB48,IF(Assumptions!AB$201&lt;Contract_Register!$T$13,0,AA53*(1+Contract_Register!$M$13/2*Assumptions!$F$178)*IF(AND(Assumptions!AB$201&gt;Contract_Register!$T$13,MOD(Assumptions!AB$201-Contract_Register!$T$13,Assumptions!$C$90)=0),Contract_Register!$S$13,1)))</f>
        <v>29.5297588552914</v>
      </c>
    </row>
    <row r="54" customFormat="false" ht="15" hidden="false" customHeight="false" outlineLevel="0" collapsed="false">
      <c r="A54" s="27" t="s">
        <v>820</v>
      </c>
      <c r="B54" s="63" t="s">
        <v>774</v>
      </c>
      <c r="C54" s="66" t="n">
        <f aca="false">P54</f>
        <v>91.5472297289607</v>
      </c>
      <c r="D54" s="66" t="n">
        <f aca="false">AB54</f>
        <v>93.2087428314781</v>
      </c>
      <c r="E54" s="67" t="n">
        <f aca="false">IF(E$5="A",Inputs_Actuals!E49,IF(Assumptions!E$201&lt;Contract_Register!$T$14,0,Contract_Register!$J$14*(1+Contract_Register!$M$14/2*Assumptions!$F$178)*IF(AND(Assumptions!E$201&gt;Contract_Register!$T$14,MOD(Assumptions!E$201-Contract_Register!$T$14,Assumptions!$C$90)=0),Contract_Register!$S$14,1)))</f>
        <v>90</v>
      </c>
      <c r="F54" s="67" t="n">
        <f aca="false">IF(F$5="A",Inputs_Actuals!F49,IF(Assumptions!F$201&lt;Contract_Register!$T$14,0,E54*(1+Contract_Register!$M$14/2*Assumptions!$F$178)*IF(AND(Assumptions!F$201&gt;Contract_Register!$T$14,MOD(Assumptions!F$201-Contract_Register!$T$14,Assumptions!$C$90)=0),Contract_Register!$S$14,1)))</f>
        <v>90</v>
      </c>
      <c r="G54" s="67" t="n">
        <f aca="false">IF(G$5="A",Inputs_Actuals!G49,IF(Assumptions!G$201&lt;Contract_Register!$T$14,0,F54*(1+Contract_Register!$M$14/2*Assumptions!$F$178)*IF(AND(Assumptions!G$201&gt;Contract_Register!$T$14,MOD(Assumptions!G$201-Contract_Register!$T$14,Assumptions!$C$90)=0),Contract_Register!$S$14,1)))</f>
        <v>91</v>
      </c>
      <c r="H54" s="67" t="n">
        <f aca="false">IF(H$5="A",Inputs_Actuals!H49,IF(Assumptions!H$201&lt;Contract_Register!$T$14,0,G54*(1+Contract_Register!$M$14/2*Assumptions!$F$178)*IF(AND(Assumptions!H$201&gt;Contract_Register!$T$14,MOD(Assumptions!H$201-Contract_Register!$T$14,Assumptions!$C$90)=0),Contract_Register!$S$14,1)))</f>
        <v>91</v>
      </c>
      <c r="I54" s="67" t="n">
        <f aca="false">IF(I$5="A",Inputs_Actuals!I49,IF(Assumptions!I$201&lt;Contract_Register!$T$14,0,H54*(1+Contract_Register!$M$14/2*Assumptions!$F$178)*IF(AND(Assumptions!I$201&gt;Contract_Register!$T$14,MOD(Assumptions!I$201-Contract_Register!$T$14,Assumptions!$C$90)=0),Contract_Register!$S$14,1)))</f>
        <v>91</v>
      </c>
      <c r="J54" s="67" t="n">
        <f aca="false">IF(J$5="A",Inputs_Actuals!J49,IF(Assumptions!J$201&lt;Contract_Register!$T$14,0,I54*(1+Contract_Register!$M$14/2*Assumptions!$F$178)*IF(AND(Assumptions!J$201&gt;Contract_Register!$T$14,MOD(Assumptions!J$201-Contract_Register!$T$14,Assumptions!$C$90)=0),Contract_Register!$S$14,1)))</f>
        <v>91</v>
      </c>
      <c r="K54" s="67" t="n">
        <f aca="false">IF(K$5="A",Inputs_Actuals!K49,IF(Assumptions!K$201&lt;Contract_Register!$T$14,0,J54*(1+Contract_Register!$M$14/2*Assumptions!$F$178)*IF(AND(Assumptions!K$201&gt;Contract_Register!$T$14,MOD(Assumptions!K$201-Contract_Register!$T$14,Assumptions!$C$90)=0),Contract_Register!$S$14,1)))</f>
        <v>91</v>
      </c>
      <c r="L54" s="67" t="n">
        <f aca="false">IF(L$5="A",Inputs_Actuals!L49,IF(Assumptions!L$201&lt;Contract_Register!$T$14,0,K54*(1+Contract_Register!$M$14/2*Assumptions!$F$178)*IF(AND(Assumptions!L$201&gt;Contract_Register!$T$14,MOD(Assumptions!L$201-Contract_Register!$T$14,Assumptions!$C$90)=0),Contract_Register!$S$14,1)))</f>
        <v>91</v>
      </c>
      <c r="M54" s="67" t="n">
        <f aca="false">IF(M$5="A",Inputs_Actuals!M49,IF(Assumptions!M$201&lt;Contract_Register!$T$14,0,L54*(1+Contract_Register!$M$14/2*Assumptions!$F$178)*IF(AND(Assumptions!M$201&gt;Contract_Register!$T$14,MOD(Assumptions!M$201-Contract_Register!$T$14,Assumptions!$C$90)=0),Contract_Register!$S$14,1)))</f>
        <v>91.1365</v>
      </c>
      <c r="N54" s="67" t="n">
        <f aca="false">IF(N$5="A",Inputs_Actuals!N49,IF(Assumptions!N$201&lt;Contract_Register!$T$14,0,M54*(1+Contract_Register!$M$14/2*Assumptions!$F$178)*IF(AND(Assumptions!N$201&gt;Contract_Register!$T$14,MOD(Assumptions!N$201-Contract_Register!$T$14,Assumptions!$C$90)=0),Contract_Register!$S$14,1)))</f>
        <v>91.27320475</v>
      </c>
      <c r="O54" s="67" t="n">
        <f aca="false">IF(O$5="A",Inputs_Actuals!O49,IF(Assumptions!O$201&lt;Contract_Register!$T$14,0,N54*(1+Contract_Register!$M$14/2*Assumptions!$F$178)*IF(AND(Assumptions!O$201&gt;Contract_Register!$T$14,MOD(Assumptions!O$201-Contract_Register!$T$14,Assumptions!$C$90)=0),Contract_Register!$S$14,1)))</f>
        <v>91.410114557125</v>
      </c>
      <c r="P54" s="67" t="n">
        <f aca="false">IF(P$5="A",Inputs_Actuals!P49,IF(Assumptions!P$201&lt;Contract_Register!$T$14,0,O54*(1+Contract_Register!$M$14/2*Assumptions!$F$178)*IF(AND(Assumptions!P$201&gt;Contract_Register!$T$14,MOD(Assumptions!P$201-Contract_Register!$T$14,Assumptions!$C$90)=0),Contract_Register!$S$14,1)))</f>
        <v>91.5472297289607</v>
      </c>
      <c r="Q54" s="67" t="n">
        <f aca="false">IF(Q$5="A",Inputs_Actuals!Q49,IF(Assumptions!Q$201&lt;Contract_Register!$T$14,0,P54*(1+Contract_Register!$M$14/2*Assumptions!$F$178)*IF(AND(Assumptions!Q$201&gt;Contract_Register!$T$14,MOD(Assumptions!Q$201-Contract_Register!$T$14,Assumptions!$C$90)=0),Contract_Register!$S$14,1)))</f>
        <v>91.6845505735542</v>
      </c>
      <c r="R54" s="67" t="n">
        <f aca="false">IF(R$5="A",Inputs_Actuals!R49,IF(Assumptions!R$201&lt;Contract_Register!$T$14,0,Q54*(1+Contract_Register!$M$14/2*Assumptions!$F$178)*IF(AND(Assumptions!R$201&gt;Contract_Register!$T$14,MOD(Assumptions!R$201-Contract_Register!$T$14,Assumptions!$C$90)=0),Contract_Register!$S$14,1)))</f>
        <v>91.8220773994145</v>
      </c>
      <c r="S54" s="67" t="n">
        <f aca="false">IF(S$5="A",Inputs_Actuals!S49,IF(Assumptions!S$201&lt;Contract_Register!$T$14,0,R54*(1+Contract_Register!$M$14/2*Assumptions!$F$178)*IF(AND(Assumptions!S$201&gt;Contract_Register!$T$14,MOD(Assumptions!S$201-Contract_Register!$T$14,Assumptions!$C$90)=0),Contract_Register!$S$14,1)))</f>
        <v>91.9598105155136</v>
      </c>
      <c r="T54" s="67" t="n">
        <f aca="false">IF(T$5="A",Inputs_Actuals!T49,IF(Assumptions!T$201&lt;Contract_Register!$T$14,0,S54*(1+Contract_Register!$M$14/2*Assumptions!$F$178)*IF(AND(Assumptions!T$201&gt;Contract_Register!$T$14,MOD(Assumptions!T$201-Contract_Register!$T$14,Assumptions!$C$90)=0),Contract_Register!$S$14,1)))</f>
        <v>92.0977502312869</v>
      </c>
      <c r="U54" s="67" t="n">
        <f aca="false">IF(U$5="A",Inputs_Actuals!U49,IF(Assumptions!U$201&lt;Contract_Register!$T$14,0,T54*(1+Contract_Register!$M$14/2*Assumptions!$F$178)*IF(AND(Assumptions!U$201&gt;Contract_Register!$T$14,MOD(Assumptions!U$201-Contract_Register!$T$14,Assumptions!$C$90)=0),Contract_Register!$S$14,1)))</f>
        <v>92.2358968566338</v>
      </c>
      <c r="V54" s="67" t="n">
        <f aca="false">IF(V$5="A",Inputs_Actuals!V49,IF(Assumptions!V$201&lt;Contract_Register!$T$14,0,U54*(1+Contract_Register!$M$14/2*Assumptions!$F$178)*IF(AND(Assumptions!V$201&gt;Contract_Register!$T$14,MOD(Assumptions!V$201-Contract_Register!$T$14,Assumptions!$C$90)=0),Contract_Register!$S$14,1)))</f>
        <v>92.3742507019188</v>
      </c>
      <c r="W54" s="67" t="n">
        <f aca="false">IF(W$5="A",Inputs_Actuals!W49,IF(Assumptions!W$201&lt;Contract_Register!$T$14,0,V54*(1+Contract_Register!$M$14/2*Assumptions!$F$178)*IF(AND(Assumptions!W$201&gt;Contract_Register!$T$14,MOD(Assumptions!W$201-Contract_Register!$T$14,Assumptions!$C$90)=0),Contract_Register!$S$14,1)))</f>
        <v>92.5128120779717</v>
      </c>
      <c r="X54" s="67" t="n">
        <f aca="false">IF(X$5="A",Inputs_Actuals!X49,IF(Assumptions!X$201&lt;Contract_Register!$T$14,0,W54*(1+Contract_Register!$M$14/2*Assumptions!$F$178)*IF(AND(Assumptions!X$201&gt;Contract_Register!$T$14,MOD(Assumptions!X$201-Contract_Register!$T$14,Assumptions!$C$90)=0),Contract_Register!$S$14,1)))</f>
        <v>92.6515812960886</v>
      </c>
      <c r="Y54" s="67" t="n">
        <f aca="false">IF(Y$5="A",Inputs_Actuals!Y49,IF(Assumptions!Y$201&lt;Contract_Register!$T$14,0,X54*(1+Contract_Register!$M$14/2*Assumptions!$F$178)*IF(AND(Assumptions!Y$201&gt;Contract_Register!$T$14,MOD(Assumptions!Y$201-Contract_Register!$T$14,Assumptions!$C$90)=0),Contract_Register!$S$14,1)))</f>
        <v>92.7905586680328</v>
      </c>
      <c r="Z54" s="67" t="n">
        <f aca="false">IF(Z$5="A",Inputs_Actuals!Z49,IF(Assumptions!Z$201&lt;Contract_Register!$T$14,0,Y54*(1+Contract_Register!$M$14/2*Assumptions!$F$178)*IF(AND(Assumptions!Z$201&gt;Contract_Register!$T$14,MOD(Assumptions!Z$201-Contract_Register!$T$14,Assumptions!$C$90)=0),Contract_Register!$S$14,1)))</f>
        <v>92.9297445060348</v>
      </c>
      <c r="AA54" s="67" t="n">
        <f aca="false">IF(AA$5="A",Inputs_Actuals!AA49,IF(Assumptions!AA$201&lt;Contract_Register!$T$14,0,Z54*(1+Contract_Register!$M$14/2*Assumptions!$F$178)*IF(AND(Assumptions!AA$201&gt;Contract_Register!$T$14,MOD(Assumptions!AA$201-Contract_Register!$T$14,Assumptions!$C$90)=0),Contract_Register!$S$14,1)))</f>
        <v>93.0691391227939</v>
      </c>
      <c r="AB54" s="67" t="n">
        <f aca="false">IF(AB$5="A",Inputs_Actuals!AB49,IF(Assumptions!AB$201&lt;Contract_Register!$T$14,0,AA54*(1+Contract_Register!$M$14/2*Assumptions!$F$178)*IF(AND(Assumptions!AB$201&gt;Contract_Register!$T$14,MOD(Assumptions!AB$201-Contract_Register!$T$14,Assumptions!$C$90)=0),Contract_Register!$S$14,1)))</f>
        <v>93.2087428314781</v>
      </c>
    </row>
    <row r="55" customFormat="false" ht="15" hidden="false" customHeight="false" outlineLevel="0" collapsed="false">
      <c r="A55" s="27" t="s">
        <v>821</v>
      </c>
      <c r="B55" s="63" t="s">
        <v>774</v>
      </c>
      <c r="C55" s="66" t="n">
        <f aca="false">P55</f>
        <v>45.180270180045</v>
      </c>
      <c r="D55" s="66" t="n">
        <f aca="false">AB55</f>
        <v>45.7254252820968</v>
      </c>
      <c r="E55" s="67" t="n">
        <f aca="false">IF(E$5="A",Inputs_Actuals!E50,IF(Assumptions!E$201&lt;Contract_Register!$T$15,0,Contract_Register!$J$15*(1+Contract_Register!$M$15/2*Assumptions!$F$178)*IF(AND(Assumptions!E$201&gt;Contract_Register!$T$15,MOD(Assumptions!E$201-Contract_Register!$T$15,Assumptions!$C$90)=0),Contract_Register!$S$15,1)))</f>
        <v>45</v>
      </c>
      <c r="F55" s="67" t="n">
        <f aca="false">IF(F$5="A",Inputs_Actuals!F50,IF(Assumptions!F$201&lt;Contract_Register!$T$15,0,E55*(1+Contract_Register!$M$15/2*Assumptions!$F$178)*IF(AND(Assumptions!F$201&gt;Contract_Register!$T$15,MOD(Assumptions!F$201-Contract_Register!$T$15,Assumptions!$C$90)=0),Contract_Register!$S$15,1)))</f>
        <v>45</v>
      </c>
      <c r="G55" s="67" t="n">
        <f aca="false">IF(G$5="A",Inputs_Actuals!G50,IF(Assumptions!G$201&lt;Contract_Register!$T$15,0,F55*(1+Contract_Register!$M$15/2*Assumptions!$F$178)*IF(AND(Assumptions!G$201&gt;Contract_Register!$T$15,MOD(Assumptions!G$201-Contract_Register!$T$15,Assumptions!$C$90)=0),Contract_Register!$S$15,1)))</f>
        <v>45</v>
      </c>
      <c r="H55" s="67" t="n">
        <f aca="false">IF(H$5="A",Inputs_Actuals!H50,IF(Assumptions!H$201&lt;Contract_Register!$T$15,0,G55*(1+Contract_Register!$M$15/2*Assumptions!$F$178)*IF(AND(Assumptions!H$201&gt;Contract_Register!$T$15,MOD(Assumptions!H$201-Contract_Register!$T$15,Assumptions!$C$90)=0),Contract_Register!$S$15,1)))</f>
        <v>45</v>
      </c>
      <c r="I55" s="67" t="n">
        <f aca="false">IF(I$5="A",Inputs_Actuals!I50,IF(Assumptions!I$201&lt;Contract_Register!$T$15,0,H55*(1+Contract_Register!$M$15/2*Assumptions!$F$178)*IF(AND(Assumptions!I$201&gt;Contract_Register!$T$15,MOD(Assumptions!I$201-Contract_Register!$T$15,Assumptions!$C$90)=0),Contract_Register!$S$15,1)))</f>
        <v>45</v>
      </c>
      <c r="J55" s="67" t="n">
        <f aca="false">IF(J$5="A",Inputs_Actuals!J50,IF(Assumptions!J$201&lt;Contract_Register!$T$15,0,I55*(1+Contract_Register!$M$15/2*Assumptions!$F$178)*IF(AND(Assumptions!J$201&gt;Contract_Register!$T$15,MOD(Assumptions!J$201-Contract_Register!$T$15,Assumptions!$C$90)=0),Contract_Register!$S$15,1)))</f>
        <v>45</v>
      </c>
      <c r="K55" s="67" t="n">
        <f aca="false">IF(K$5="A",Inputs_Actuals!K50,IF(Assumptions!K$201&lt;Contract_Register!$T$15,0,J55*(1+Contract_Register!$M$15/2*Assumptions!$F$178)*IF(AND(Assumptions!K$201&gt;Contract_Register!$T$15,MOD(Assumptions!K$201-Contract_Register!$T$15,Assumptions!$C$90)=0),Contract_Register!$S$15,1)))</f>
        <v>45</v>
      </c>
      <c r="L55" s="67" t="n">
        <f aca="false">IF(L$5="A",Inputs_Actuals!L50,IF(Assumptions!L$201&lt;Contract_Register!$T$15,0,K55*(1+Contract_Register!$M$15/2*Assumptions!$F$178)*IF(AND(Assumptions!L$201&gt;Contract_Register!$T$15,MOD(Assumptions!L$201-Contract_Register!$T$15,Assumptions!$C$90)=0),Contract_Register!$S$15,1)))</f>
        <v>45</v>
      </c>
      <c r="M55" s="67" t="n">
        <f aca="false">IF(M$5="A",Inputs_Actuals!M50,IF(Assumptions!M$201&lt;Contract_Register!$T$15,0,L55*(1+Contract_Register!$M$15/2*Assumptions!$F$178)*IF(AND(Assumptions!M$201&gt;Contract_Register!$T$15,MOD(Assumptions!M$201-Contract_Register!$T$15,Assumptions!$C$90)=0),Contract_Register!$S$15,1)))</f>
        <v>45.045</v>
      </c>
      <c r="N55" s="67" t="n">
        <f aca="false">IF(N$5="A",Inputs_Actuals!N50,IF(Assumptions!N$201&lt;Contract_Register!$T$15,0,M55*(1+Contract_Register!$M$15/2*Assumptions!$F$178)*IF(AND(Assumptions!N$201&gt;Contract_Register!$T$15,MOD(Assumptions!N$201-Contract_Register!$T$15,Assumptions!$C$90)=0),Contract_Register!$S$15,1)))</f>
        <v>45.090045</v>
      </c>
      <c r="O55" s="67" t="n">
        <f aca="false">IF(O$5="A",Inputs_Actuals!O50,IF(Assumptions!O$201&lt;Contract_Register!$T$15,0,N55*(1+Contract_Register!$M$15/2*Assumptions!$F$178)*IF(AND(Assumptions!O$201&gt;Contract_Register!$T$15,MOD(Assumptions!O$201-Contract_Register!$T$15,Assumptions!$C$90)=0),Contract_Register!$S$15,1)))</f>
        <v>45.135135045</v>
      </c>
      <c r="P55" s="67" t="n">
        <f aca="false">IF(P$5="A",Inputs_Actuals!P50,IF(Assumptions!P$201&lt;Contract_Register!$T$15,0,O55*(1+Contract_Register!$M$15/2*Assumptions!$F$178)*IF(AND(Assumptions!P$201&gt;Contract_Register!$T$15,MOD(Assumptions!P$201-Contract_Register!$T$15,Assumptions!$C$90)=0),Contract_Register!$S$15,1)))</f>
        <v>45.180270180045</v>
      </c>
      <c r="Q55" s="67" t="n">
        <f aca="false">IF(Q$5="A",Inputs_Actuals!Q50,IF(Assumptions!Q$201&lt;Contract_Register!$T$15,0,P55*(1+Contract_Register!$M$15/2*Assumptions!$F$178)*IF(AND(Assumptions!Q$201&gt;Contract_Register!$T$15,MOD(Assumptions!Q$201-Contract_Register!$T$15,Assumptions!$C$90)=0),Contract_Register!$S$15,1)))</f>
        <v>45.225450450225</v>
      </c>
      <c r="R55" s="67" t="n">
        <f aca="false">IF(R$5="A",Inputs_Actuals!R50,IF(Assumptions!R$201&lt;Contract_Register!$T$15,0,Q55*(1+Contract_Register!$M$15/2*Assumptions!$F$178)*IF(AND(Assumptions!R$201&gt;Contract_Register!$T$15,MOD(Assumptions!R$201-Contract_Register!$T$15,Assumptions!$C$90)=0),Contract_Register!$S$15,1)))</f>
        <v>45.2706759006752</v>
      </c>
      <c r="S55" s="67" t="n">
        <f aca="false">IF(S$5="A",Inputs_Actuals!S50,IF(Assumptions!S$201&lt;Contract_Register!$T$15,0,R55*(1+Contract_Register!$M$15/2*Assumptions!$F$178)*IF(AND(Assumptions!S$201&gt;Contract_Register!$T$15,MOD(Assumptions!S$201-Contract_Register!$T$15,Assumptions!$C$90)=0),Contract_Register!$S$15,1)))</f>
        <v>45.3159465765759</v>
      </c>
      <c r="T55" s="67" t="n">
        <f aca="false">IF(T$5="A",Inputs_Actuals!T50,IF(Assumptions!T$201&lt;Contract_Register!$T$15,0,S55*(1+Contract_Register!$M$15/2*Assumptions!$F$178)*IF(AND(Assumptions!T$201&gt;Contract_Register!$T$15,MOD(Assumptions!T$201-Contract_Register!$T$15,Assumptions!$C$90)=0),Contract_Register!$S$15,1)))</f>
        <v>45.3612625231525</v>
      </c>
      <c r="U55" s="67" t="n">
        <f aca="false">IF(U$5="A",Inputs_Actuals!U50,IF(Assumptions!U$201&lt;Contract_Register!$T$15,0,T55*(1+Contract_Register!$M$15/2*Assumptions!$F$178)*IF(AND(Assumptions!U$201&gt;Contract_Register!$T$15,MOD(Assumptions!U$201-Contract_Register!$T$15,Assumptions!$C$90)=0),Contract_Register!$S$15,1)))</f>
        <v>45.4066237856756</v>
      </c>
      <c r="V55" s="67" t="n">
        <f aca="false">IF(V$5="A",Inputs_Actuals!V50,IF(Assumptions!V$201&lt;Contract_Register!$T$15,0,U55*(1+Contract_Register!$M$15/2*Assumptions!$F$178)*IF(AND(Assumptions!V$201&gt;Contract_Register!$T$15,MOD(Assumptions!V$201-Contract_Register!$T$15,Assumptions!$C$90)=0),Contract_Register!$S$15,1)))</f>
        <v>45.4520304094613</v>
      </c>
      <c r="W55" s="67" t="n">
        <f aca="false">IF(W$5="A",Inputs_Actuals!W50,IF(Assumptions!W$201&lt;Contract_Register!$T$15,0,V55*(1+Contract_Register!$M$15/2*Assumptions!$F$178)*IF(AND(Assumptions!W$201&gt;Contract_Register!$T$15,MOD(Assumptions!W$201-Contract_Register!$T$15,Assumptions!$C$90)=0),Contract_Register!$S$15,1)))</f>
        <v>45.4974824398708</v>
      </c>
      <c r="X55" s="67" t="n">
        <f aca="false">IF(X$5="A",Inputs_Actuals!X50,IF(Assumptions!X$201&lt;Contract_Register!$T$15,0,W55*(1+Contract_Register!$M$15/2*Assumptions!$F$178)*IF(AND(Assumptions!X$201&gt;Contract_Register!$T$15,MOD(Assumptions!X$201-Contract_Register!$T$15,Assumptions!$C$90)=0),Contract_Register!$S$15,1)))</f>
        <v>45.5429799223106</v>
      </c>
      <c r="Y55" s="67" t="n">
        <f aca="false">IF(Y$5="A",Inputs_Actuals!Y50,IF(Assumptions!Y$201&lt;Contract_Register!$T$15,0,X55*(1+Contract_Register!$M$15/2*Assumptions!$F$178)*IF(AND(Assumptions!Y$201&gt;Contract_Register!$T$15,MOD(Assumptions!Y$201-Contract_Register!$T$15,Assumptions!$C$90)=0),Contract_Register!$S$15,1)))</f>
        <v>45.5885229022329</v>
      </c>
      <c r="Z55" s="67" t="n">
        <f aca="false">IF(Z$5="A",Inputs_Actuals!Z50,IF(Assumptions!Z$201&lt;Contract_Register!$T$15,0,Y55*(1+Contract_Register!$M$15/2*Assumptions!$F$178)*IF(AND(Assumptions!Z$201&gt;Contract_Register!$T$15,MOD(Assumptions!Z$201-Contract_Register!$T$15,Assumptions!$C$90)=0),Contract_Register!$S$15,1)))</f>
        <v>45.6341114251351</v>
      </c>
      <c r="AA55" s="67" t="n">
        <f aca="false">IF(AA$5="A",Inputs_Actuals!AA50,IF(Assumptions!AA$201&lt;Contract_Register!$T$15,0,Z55*(1+Contract_Register!$M$15/2*Assumptions!$F$178)*IF(AND(Assumptions!AA$201&gt;Contract_Register!$T$15,MOD(Assumptions!AA$201-Contract_Register!$T$15,Assumptions!$C$90)=0),Contract_Register!$S$15,1)))</f>
        <v>45.6797455365603</v>
      </c>
      <c r="AB55" s="67" t="n">
        <f aca="false">IF(AB$5="A",Inputs_Actuals!AB50,IF(Assumptions!AB$201&lt;Contract_Register!$T$15,0,AA55*(1+Contract_Register!$M$15/2*Assumptions!$F$178)*IF(AND(Assumptions!AB$201&gt;Contract_Register!$T$15,MOD(Assumptions!AB$201-Contract_Register!$T$15,Assumptions!$C$90)=0),Contract_Register!$S$15,1)))</f>
        <v>45.7254252820968</v>
      </c>
    </row>
    <row r="56" customFormat="false" ht="15" hidden="false" customHeight="false" outlineLevel="0" collapsed="false">
      <c r="A56" s="27" t="s">
        <v>822</v>
      </c>
      <c r="B56" s="63" t="s">
        <v>774</v>
      </c>
      <c r="C56" s="66" t="n">
        <f aca="false">P56</f>
        <v>12.048072048012</v>
      </c>
      <c r="D56" s="66" t="n">
        <f aca="false">AB56</f>
        <v>11.5837744047979</v>
      </c>
      <c r="E56" s="67" t="n">
        <f aca="false">IF(E$5="A",Inputs_Actuals!E51,IF(Assumptions!E$201&lt;Contract_Register!$T$16,0,Contract_Register!$J$16*(1+Contract_Register!$M$16/2*Assumptions!$F$178)*IF(AND(Assumptions!E$201&gt;Contract_Register!$T$16,MOD(Assumptions!E$201-Contract_Register!$T$16,Assumptions!$C$90)=0),Contract_Register!$S$16,1)))</f>
        <v>12</v>
      </c>
      <c r="F56" s="67" t="n">
        <f aca="false">IF(F$5="A",Inputs_Actuals!F51,IF(Assumptions!F$201&lt;Contract_Register!$T$16,0,E56*(1+Contract_Register!$M$16/2*Assumptions!$F$178)*IF(AND(Assumptions!F$201&gt;Contract_Register!$T$16,MOD(Assumptions!F$201-Contract_Register!$T$16,Assumptions!$C$90)=0),Contract_Register!$S$16,1)))</f>
        <v>12</v>
      </c>
      <c r="G56" s="67" t="n">
        <f aca="false">IF(G$5="A",Inputs_Actuals!G51,IF(Assumptions!G$201&lt;Contract_Register!$T$16,0,F56*(1+Contract_Register!$M$16/2*Assumptions!$F$178)*IF(AND(Assumptions!G$201&gt;Contract_Register!$T$16,MOD(Assumptions!G$201-Contract_Register!$T$16,Assumptions!$C$90)=0),Contract_Register!$S$16,1)))</f>
        <v>12</v>
      </c>
      <c r="H56" s="67" t="n">
        <f aca="false">IF(H$5="A",Inputs_Actuals!H51,IF(Assumptions!H$201&lt;Contract_Register!$T$16,0,G56*(1+Contract_Register!$M$16/2*Assumptions!$F$178)*IF(AND(Assumptions!H$201&gt;Contract_Register!$T$16,MOD(Assumptions!H$201-Contract_Register!$T$16,Assumptions!$C$90)=0),Contract_Register!$S$16,1)))</f>
        <v>12</v>
      </c>
      <c r="I56" s="67" t="n">
        <f aca="false">IF(I$5="A",Inputs_Actuals!I51,IF(Assumptions!I$201&lt;Contract_Register!$T$16,0,H56*(1+Contract_Register!$M$16/2*Assumptions!$F$178)*IF(AND(Assumptions!I$201&gt;Contract_Register!$T$16,MOD(Assumptions!I$201-Contract_Register!$T$16,Assumptions!$C$90)=0),Contract_Register!$S$16,1)))</f>
        <v>12</v>
      </c>
      <c r="J56" s="67" t="n">
        <f aca="false">IF(J$5="A",Inputs_Actuals!J51,IF(Assumptions!J$201&lt;Contract_Register!$T$16,0,I56*(1+Contract_Register!$M$16/2*Assumptions!$F$178)*IF(AND(Assumptions!J$201&gt;Contract_Register!$T$16,MOD(Assumptions!J$201-Contract_Register!$T$16,Assumptions!$C$90)=0),Contract_Register!$S$16,1)))</f>
        <v>12</v>
      </c>
      <c r="K56" s="67" t="n">
        <f aca="false">IF(K$5="A",Inputs_Actuals!K51,IF(Assumptions!K$201&lt;Contract_Register!$T$16,0,J56*(1+Contract_Register!$M$16/2*Assumptions!$F$178)*IF(AND(Assumptions!K$201&gt;Contract_Register!$T$16,MOD(Assumptions!K$201-Contract_Register!$T$16,Assumptions!$C$90)=0),Contract_Register!$S$16,1)))</f>
        <v>12</v>
      </c>
      <c r="L56" s="67" t="n">
        <f aca="false">IF(L$5="A",Inputs_Actuals!L51,IF(Assumptions!L$201&lt;Contract_Register!$T$16,0,K56*(1+Contract_Register!$M$16/2*Assumptions!$F$178)*IF(AND(Assumptions!L$201&gt;Contract_Register!$T$16,MOD(Assumptions!L$201-Contract_Register!$T$16,Assumptions!$C$90)=0),Contract_Register!$S$16,1)))</f>
        <v>12</v>
      </c>
      <c r="M56" s="67" t="n">
        <f aca="false">IF(M$5="A",Inputs_Actuals!M51,IF(Assumptions!M$201&lt;Contract_Register!$T$16,0,L56*(1+Contract_Register!$M$16/2*Assumptions!$F$178)*IF(AND(Assumptions!M$201&gt;Contract_Register!$T$16,MOD(Assumptions!M$201-Contract_Register!$T$16,Assumptions!$C$90)=0),Contract_Register!$S$16,1)))</f>
        <v>12.012</v>
      </c>
      <c r="N56" s="67" t="n">
        <f aca="false">IF(N$5="A",Inputs_Actuals!N51,IF(Assumptions!N$201&lt;Contract_Register!$T$16,0,M56*(1+Contract_Register!$M$16/2*Assumptions!$F$178)*IF(AND(Assumptions!N$201&gt;Contract_Register!$T$16,MOD(Assumptions!N$201-Contract_Register!$T$16,Assumptions!$C$90)=0),Contract_Register!$S$16,1)))</f>
        <v>12.024012</v>
      </c>
      <c r="O56" s="67" t="n">
        <f aca="false">IF(O$5="A",Inputs_Actuals!O51,IF(Assumptions!O$201&lt;Contract_Register!$T$16,0,N56*(1+Contract_Register!$M$16/2*Assumptions!$F$178)*IF(AND(Assumptions!O$201&gt;Contract_Register!$T$16,MOD(Assumptions!O$201-Contract_Register!$T$16,Assumptions!$C$90)=0),Contract_Register!$S$16,1)))</f>
        <v>12.036036012</v>
      </c>
      <c r="P56" s="67" t="n">
        <f aca="false">IF(P$5="A",Inputs_Actuals!P51,IF(Assumptions!P$201&lt;Contract_Register!$T$16,0,O56*(1+Contract_Register!$M$16/2*Assumptions!$F$178)*IF(AND(Assumptions!P$201&gt;Contract_Register!$T$16,MOD(Assumptions!P$201-Contract_Register!$T$16,Assumptions!$C$90)=0),Contract_Register!$S$16,1)))</f>
        <v>12.048072048012</v>
      </c>
      <c r="Q56" s="67" t="n">
        <f aca="false">IF(Q$5="A",Inputs_Actuals!Q51,IF(Assumptions!Q$201&lt;Contract_Register!$T$16,0,P56*(1+Contract_Register!$M$16/2*Assumptions!$F$178)*IF(AND(Assumptions!Q$201&gt;Contract_Register!$T$16,MOD(Assumptions!Q$201-Contract_Register!$T$16,Assumptions!$C$90)=0),Contract_Register!$S$16,1)))</f>
        <v>12.06012012006</v>
      </c>
      <c r="R56" s="67" t="n">
        <f aca="false">IF(R$5="A",Inputs_Actuals!R51,IF(Assumptions!R$201&lt;Contract_Register!$T$16,0,Q56*(1+Contract_Register!$M$16/2*Assumptions!$F$178)*IF(AND(Assumptions!R$201&gt;Contract_Register!$T$16,MOD(Assumptions!R$201-Contract_Register!$T$16,Assumptions!$C$90)=0),Contract_Register!$S$16,1)))</f>
        <v>12.0721802401801</v>
      </c>
      <c r="S56" s="67" t="n">
        <f aca="false">IF(S$5="A",Inputs_Actuals!S51,IF(Assumptions!S$201&lt;Contract_Register!$T$16,0,R56*(1+Contract_Register!$M$16/2*Assumptions!$F$178)*IF(AND(Assumptions!S$201&gt;Contract_Register!$T$16,MOD(Assumptions!S$201-Contract_Register!$T$16,Assumptions!$C$90)=0),Contract_Register!$S$16,1)))</f>
        <v>12.0842524204202</v>
      </c>
      <c r="T56" s="67" t="n">
        <f aca="false">IF(T$5="A",Inputs_Actuals!T51,IF(Assumptions!T$201&lt;Contract_Register!$T$16,0,S56*(1+Contract_Register!$M$16/2*Assumptions!$F$178)*IF(AND(Assumptions!T$201&gt;Contract_Register!$T$16,MOD(Assumptions!T$201-Contract_Register!$T$16,Assumptions!$C$90)=0),Contract_Register!$S$16,1)))</f>
        <v>12.0963366728407</v>
      </c>
      <c r="U56" s="67" t="n">
        <f aca="false">IF(U$5="A",Inputs_Actuals!U51,IF(Assumptions!U$201&lt;Contract_Register!$T$16,0,T56*(1+Contract_Register!$M$16/2*Assumptions!$F$178)*IF(AND(Assumptions!U$201&gt;Contract_Register!$T$16,MOD(Assumptions!U$201-Contract_Register!$T$16,Assumptions!$C$90)=0),Contract_Register!$S$16,1)))</f>
        <v>12.1084330095135</v>
      </c>
      <c r="V56" s="67" t="n">
        <f aca="false">IF(V$5="A",Inputs_Actuals!V51,IF(Assumptions!V$201&lt;Contract_Register!$T$16,0,U56*(1+Contract_Register!$M$16/2*Assumptions!$F$178)*IF(AND(Assumptions!V$201&gt;Contract_Register!$T$16,MOD(Assumptions!V$201-Contract_Register!$T$16,Assumptions!$C$90)=0),Contract_Register!$S$16,1)))</f>
        <v>12.120541442523</v>
      </c>
      <c r="W56" s="67" t="n">
        <f aca="false">IF(W$5="A",Inputs_Actuals!W51,IF(Assumptions!W$201&lt;Contract_Register!$T$16,0,V56*(1+Contract_Register!$M$16/2*Assumptions!$F$178)*IF(AND(Assumptions!W$201&gt;Contract_Register!$T$16,MOD(Assumptions!W$201-Contract_Register!$T$16,Assumptions!$C$90)=0),Contract_Register!$S$16,1)))</f>
        <v>12.1326619839655</v>
      </c>
      <c r="X56" s="67" t="n">
        <f aca="false">IF(X$5="A",Inputs_Actuals!X51,IF(Assumptions!X$201&lt;Contract_Register!$T$16,0,W56*(1+Contract_Register!$M$16/2*Assumptions!$F$178)*IF(AND(Assumptions!X$201&gt;Contract_Register!$T$16,MOD(Assumptions!X$201-Contract_Register!$T$16,Assumptions!$C$90)=0),Contract_Register!$S$16,1)))</f>
        <v>12.1447946459495</v>
      </c>
      <c r="Y56" s="67" t="n">
        <f aca="false">IF(Y$5="A",Inputs_Actuals!Y51,IF(Assumptions!Y$201&lt;Contract_Register!$T$16,0,X56*(1+Contract_Register!$M$16/2*Assumptions!$F$178)*IF(AND(Assumptions!Y$201&gt;Contract_Register!$T$16,MOD(Assumptions!Y$201-Contract_Register!$T$16,Assumptions!$C$90)=0),Contract_Register!$S$16,1)))</f>
        <v>12.1569394405954</v>
      </c>
      <c r="Z56" s="67" t="n">
        <f aca="false">IF(Z$5="A",Inputs_Actuals!Z51,IF(Assumptions!Z$201&lt;Contract_Register!$T$16,0,Y56*(1+Contract_Register!$M$16/2*Assumptions!$F$178)*IF(AND(Assumptions!Z$201&gt;Contract_Register!$T$16,MOD(Assumptions!Z$201-Contract_Register!$T$16,Assumptions!$C$90)=0),Contract_Register!$S$16,1)))</f>
        <v>11.5606415610342</v>
      </c>
      <c r="AA56" s="67" t="n">
        <f aca="false">IF(AA$5="A",Inputs_Actuals!AA51,IF(Assumptions!AA$201&lt;Contract_Register!$T$16,0,Z56*(1+Contract_Register!$M$16/2*Assumptions!$F$178)*IF(AND(Assumptions!AA$201&gt;Contract_Register!$T$16,MOD(Assumptions!AA$201-Contract_Register!$T$16,Assumptions!$C$90)=0),Contract_Register!$S$16,1)))</f>
        <v>11.5722022025953</v>
      </c>
      <c r="AB56" s="67" t="n">
        <f aca="false">IF(AB$5="A",Inputs_Actuals!AB51,IF(Assumptions!AB$201&lt;Contract_Register!$T$16,0,AA56*(1+Contract_Register!$M$16/2*Assumptions!$F$178)*IF(AND(Assumptions!AB$201&gt;Contract_Register!$T$16,MOD(Assumptions!AB$201-Contract_Register!$T$16,Assumptions!$C$90)=0),Contract_Register!$S$16,1)))</f>
        <v>11.5837744047979</v>
      </c>
    </row>
    <row r="57" customFormat="false" ht="15" hidden="false" customHeight="false" outlineLevel="0" collapsed="false">
      <c r="A57" s="27" t="s">
        <v>823</v>
      </c>
      <c r="B57" s="63" t="s">
        <v>774</v>
      </c>
      <c r="C57" s="66" t="n">
        <f aca="false">P57</f>
        <v>60.24036024006</v>
      </c>
      <c r="D57" s="66" t="n">
        <f aca="false">AB57</f>
        <v>60.9672337094625</v>
      </c>
      <c r="E57" s="67" t="n">
        <f aca="false">IF(E$5="A",Inputs_Actuals!E52,IF(Assumptions!E$201&lt;Contract_Register!$T$17,0,Contract_Register!$J$17*(1+Contract_Register!$M$17/2*Assumptions!$F$178)*IF(AND(Assumptions!E$201&gt;Contract_Register!$T$17,MOD(Assumptions!E$201-Contract_Register!$T$17,Assumptions!$C$90)=0),Contract_Register!$S$17,1)))</f>
        <v>60</v>
      </c>
      <c r="F57" s="67" t="n">
        <f aca="false">IF(F$5="A",Inputs_Actuals!F52,IF(Assumptions!F$201&lt;Contract_Register!$T$17,0,E57*(1+Contract_Register!$M$17/2*Assumptions!$F$178)*IF(AND(Assumptions!F$201&gt;Contract_Register!$T$17,MOD(Assumptions!F$201-Contract_Register!$T$17,Assumptions!$C$90)=0),Contract_Register!$S$17,1)))</f>
        <v>60</v>
      </c>
      <c r="G57" s="67" t="n">
        <f aca="false">IF(G$5="A",Inputs_Actuals!G52,IF(Assumptions!G$201&lt;Contract_Register!$T$17,0,F57*(1+Contract_Register!$M$17/2*Assumptions!$F$178)*IF(AND(Assumptions!G$201&gt;Contract_Register!$T$17,MOD(Assumptions!G$201-Contract_Register!$T$17,Assumptions!$C$90)=0),Contract_Register!$S$17,1)))</f>
        <v>60</v>
      </c>
      <c r="H57" s="67" t="n">
        <f aca="false">IF(H$5="A",Inputs_Actuals!H52,IF(Assumptions!H$201&lt;Contract_Register!$T$17,0,G57*(1+Contract_Register!$M$17/2*Assumptions!$F$178)*IF(AND(Assumptions!H$201&gt;Contract_Register!$T$17,MOD(Assumptions!H$201-Contract_Register!$T$17,Assumptions!$C$90)=0),Contract_Register!$S$17,1)))</f>
        <v>60</v>
      </c>
      <c r="I57" s="67" t="n">
        <f aca="false">IF(I$5="A",Inputs_Actuals!I52,IF(Assumptions!I$201&lt;Contract_Register!$T$17,0,H57*(1+Contract_Register!$M$17/2*Assumptions!$F$178)*IF(AND(Assumptions!I$201&gt;Contract_Register!$T$17,MOD(Assumptions!I$201-Contract_Register!$T$17,Assumptions!$C$90)=0),Contract_Register!$S$17,1)))</f>
        <v>60</v>
      </c>
      <c r="J57" s="67" t="n">
        <f aca="false">IF(J$5="A",Inputs_Actuals!J52,IF(Assumptions!J$201&lt;Contract_Register!$T$17,0,I57*(1+Contract_Register!$M$17/2*Assumptions!$F$178)*IF(AND(Assumptions!J$201&gt;Contract_Register!$T$17,MOD(Assumptions!J$201-Contract_Register!$T$17,Assumptions!$C$90)=0),Contract_Register!$S$17,1)))</f>
        <v>60</v>
      </c>
      <c r="K57" s="67" t="n">
        <f aca="false">IF(K$5="A",Inputs_Actuals!K52,IF(Assumptions!K$201&lt;Contract_Register!$T$17,0,J57*(1+Contract_Register!$M$17/2*Assumptions!$F$178)*IF(AND(Assumptions!K$201&gt;Contract_Register!$T$17,MOD(Assumptions!K$201-Contract_Register!$T$17,Assumptions!$C$90)=0),Contract_Register!$S$17,1)))</f>
        <v>60</v>
      </c>
      <c r="L57" s="67" t="n">
        <f aca="false">IF(L$5="A",Inputs_Actuals!L52,IF(Assumptions!L$201&lt;Contract_Register!$T$17,0,K57*(1+Contract_Register!$M$17/2*Assumptions!$F$178)*IF(AND(Assumptions!L$201&gt;Contract_Register!$T$17,MOD(Assumptions!L$201-Contract_Register!$T$17,Assumptions!$C$90)=0),Contract_Register!$S$17,1)))</f>
        <v>60</v>
      </c>
      <c r="M57" s="67" t="n">
        <f aca="false">IF(M$5="A",Inputs_Actuals!M52,IF(Assumptions!M$201&lt;Contract_Register!$T$17,0,L57*(1+Contract_Register!$M$17/2*Assumptions!$F$178)*IF(AND(Assumptions!M$201&gt;Contract_Register!$T$17,MOD(Assumptions!M$201-Contract_Register!$T$17,Assumptions!$C$90)=0),Contract_Register!$S$17,1)))</f>
        <v>60.06</v>
      </c>
      <c r="N57" s="67" t="n">
        <f aca="false">IF(N$5="A",Inputs_Actuals!N52,IF(Assumptions!N$201&lt;Contract_Register!$T$17,0,M57*(1+Contract_Register!$M$17/2*Assumptions!$F$178)*IF(AND(Assumptions!N$201&gt;Contract_Register!$T$17,MOD(Assumptions!N$201-Contract_Register!$T$17,Assumptions!$C$90)=0),Contract_Register!$S$17,1)))</f>
        <v>60.12006</v>
      </c>
      <c r="O57" s="67" t="n">
        <f aca="false">IF(O$5="A",Inputs_Actuals!O52,IF(Assumptions!O$201&lt;Contract_Register!$T$17,0,N57*(1+Contract_Register!$M$17/2*Assumptions!$F$178)*IF(AND(Assumptions!O$201&gt;Contract_Register!$T$17,MOD(Assumptions!O$201-Contract_Register!$T$17,Assumptions!$C$90)=0),Contract_Register!$S$17,1)))</f>
        <v>60.18018006</v>
      </c>
      <c r="P57" s="67" t="n">
        <f aca="false">IF(P$5="A",Inputs_Actuals!P52,IF(Assumptions!P$201&lt;Contract_Register!$T$17,0,O57*(1+Contract_Register!$M$17/2*Assumptions!$F$178)*IF(AND(Assumptions!P$201&gt;Contract_Register!$T$17,MOD(Assumptions!P$201-Contract_Register!$T$17,Assumptions!$C$90)=0),Contract_Register!$S$17,1)))</f>
        <v>60.24036024006</v>
      </c>
      <c r="Q57" s="67" t="n">
        <f aca="false">IF(Q$5="A",Inputs_Actuals!Q52,IF(Assumptions!Q$201&lt;Contract_Register!$T$17,0,P57*(1+Contract_Register!$M$17/2*Assumptions!$F$178)*IF(AND(Assumptions!Q$201&gt;Contract_Register!$T$17,MOD(Assumptions!Q$201-Contract_Register!$T$17,Assumptions!$C$90)=0),Contract_Register!$S$17,1)))</f>
        <v>60.3006006003</v>
      </c>
      <c r="R57" s="67" t="n">
        <f aca="false">IF(R$5="A",Inputs_Actuals!R52,IF(Assumptions!R$201&lt;Contract_Register!$T$17,0,Q57*(1+Contract_Register!$M$17/2*Assumptions!$F$178)*IF(AND(Assumptions!R$201&gt;Contract_Register!$T$17,MOD(Assumptions!R$201-Contract_Register!$T$17,Assumptions!$C$90)=0),Contract_Register!$S$17,1)))</f>
        <v>60.3609012009003</v>
      </c>
      <c r="S57" s="67" t="n">
        <f aca="false">IF(S$5="A",Inputs_Actuals!S52,IF(Assumptions!S$201&lt;Contract_Register!$T$17,0,R57*(1+Contract_Register!$M$17/2*Assumptions!$F$178)*IF(AND(Assumptions!S$201&gt;Contract_Register!$T$17,MOD(Assumptions!S$201-Contract_Register!$T$17,Assumptions!$C$90)=0),Contract_Register!$S$17,1)))</f>
        <v>60.4212621021012</v>
      </c>
      <c r="T57" s="67" t="n">
        <f aca="false">IF(T$5="A",Inputs_Actuals!T52,IF(Assumptions!T$201&lt;Contract_Register!$T$17,0,S57*(1+Contract_Register!$M$17/2*Assumptions!$F$178)*IF(AND(Assumptions!T$201&gt;Contract_Register!$T$17,MOD(Assumptions!T$201-Contract_Register!$T$17,Assumptions!$C$90)=0),Contract_Register!$S$17,1)))</f>
        <v>60.4816833642033</v>
      </c>
      <c r="U57" s="67" t="n">
        <f aca="false">IF(U$5="A",Inputs_Actuals!U52,IF(Assumptions!U$201&lt;Contract_Register!$T$17,0,T57*(1+Contract_Register!$M$17/2*Assumptions!$F$178)*IF(AND(Assumptions!U$201&gt;Contract_Register!$T$17,MOD(Assumptions!U$201-Contract_Register!$T$17,Assumptions!$C$90)=0),Contract_Register!$S$17,1)))</f>
        <v>60.5421650475675</v>
      </c>
      <c r="V57" s="67" t="n">
        <f aca="false">IF(V$5="A",Inputs_Actuals!V52,IF(Assumptions!V$201&lt;Contract_Register!$T$17,0,U57*(1+Contract_Register!$M$17/2*Assumptions!$F$178)*IF(AND(Assumptions!V$201&gt;Contract_Register!$T$17,MOD(Assumptions!V$201-Contract_Register!$T$17,Assumptions!$C$90)=0),Contract_Register!$S$17,1)))</f>
        <v>60.6027072126151</v>
      </c>
      <c r="W57" s="67" t="n">
        <f aca="false">IF(W$5="A",Inputs_Actuals!W52,IF(Assumptions!W$201&lt;Contract_Register!$T$17,0,V57*(1+Contract_Register!$M$17/2*Assumptions!$F$178)*IF(AND(Assumptions!W$201&gt;Contract_Register!$T$17,MOD(Assumptions!W$201-Contract_Register!$T$17,Assumptions!$C$90)=0),Contract_Register!$S$17,1)))</f>
        <v>60.6633099198277</v>
      </c>
      <c r="X57" s="67" t="n">
        <f aca="false">IF(X$5="A",Inputs_Actuals!X52,IF(Assumptions!X$201&lt;Contract_Register!$T$17,0,W57*(1+Contract_Register!$M$17/2*Assumptions!$F$178)*IF(AND(Assumptions!X$201&gt;Contract_Register!$T$17,MOD(Assumptions!X$201-Contract_Register!$T$17,Assumptions!$C$90)=0),Contract_Register!$S$17,1)))</f>
        <v>60.7239732297475</v>
      </c>
      <c r="Y57" s="67" t="n">
        <f aca="false">IF(Y$5="A",Inputs_Actuals!Y52,IF(Assumptions!Y$201&lt;Contract_Register!$T$17,0,X57*(1+Contract_Register!$M$17/2*Assumptions!$F$178)*IF(AND(Assumptions!Y$201&gt;Contract_Register!$T$17,MOD(Assumptions!Y$201-Contract_Register!$T$17,Assumptions!$C$90)=0),Contract_Register!$S$17,1)))</f>
        <v>60.7846972029772</v>
      </c>
      <c r="Z57" s="67" t="n">
        <f aca="false">IF(Z$5="A",Inputs_Actuals!Z52,IF(Assumptions!Z$201&lt;Contract_Register!$T$17,0,Y57*(1+Contract_Register!$M$17/2*Assumptions!$F$178)*IF(AND(Assumptions!Z$201&gt;Contract_Register!$T$17,MOD(Assumptions!Z$201-Contract_Register!$T$17,Assumptions!$C$90)=0),Contract_Register!$S$17,1)))</f>
        <v>60.8454819001802</v>
      </c>
      <c r="AA57" s="67" t="n">
        <f aca="false">IF(AA$5="A",Inputs_Actuals!AA52,IF(Assumptions!AA$201&lt;Contract_Register!$T$17,0,Z57*(1+Contract_Register!$M$17/2*Assumptions!$F$178)*IF(AND(Assumptions!AA$201&gt;Contract_Register!$T$17,MOD(Assumptions!AA$201-Contract_Register!$T$17,Assumptions!$C$90)=0),Contract_Register!$S$17,1)))</f>
        <v>60.9063273820804</v>
      </c>
      <c r="AB57" s="67" t="n">
        <f aca="false">IF(AB$5="A",Inputs_Actuals!AB52,IF(Assumptions!AB$201&lt;Contract_Register!$T$17,0,AA57*(1+Contract_Register!$M$17/2*Assumptions!$F$178)*IF(AND(Assumptions!AB$201&gt;Contract_Register!$T$17,MOD(Assumptions!AB$201-Contract_Register!$T$17,Assumptions!$C$90)=0),Contract_Register!$S$17,1)))</f>
        <v>60.9672337094625</v>
      </c>
    </row>
    <row r="58" customFormat="false" ht="15" hidden="false" customHeight="false" outlineLevel="0" collapsed="false">
      <c r="A58" s="27" t="s">
        <v>824</v>
      </c>
      <c r="B58" s="63" t="s">
        <v>774</v>
      </c>
      <c r="C58" s="66" t="n">
        <f aca="false">P58</f>
        <v>33.5470102367421</v>
      </c>
      <c r="D58" s="66" t="n">
        <f aca="false">AB58</f>
        <v>33.7488467474129</v>
      </c>
      <c r="E58" s="67" t="n">
        <f aca="false">IF(E$5="A",Inputs_Actuals!E53,IF(Assumptions!E$201&lt;Contract_Register!$T$18,0,Contract_Register!$J$18*(1+Contract_Register!$M$18/2*Assumptions!$F$178)*IF(AND(Assumptions!E$201&gt;Contract_Register!$T$18,MOD(Assumptions!E$201-Contract_Register!$T$18,Assumptions!$C$90)=0),Contract_Register!$S$18,1)))</f>
        <v>36</v>
      </c>
      <c r="F58" s="67" t="n">
        <f aca="false">IF(F$5="A",Inputs_Actuals!F53,IF(Assumptions!F$201&lt;Contract_Register!$T$18,0,E58*(1+Contract_Register!$M$18/2*Assumptions!$F$178)*IF(AND(Assumptions!F$201&gt;Contract_Register!$T$18,MOD(Assumptions!F$201-Contract_Register!$T$18,Assumptions!$C$90)=0),Contract_Register!$S$18,1)))</f>
        <v>36</v>
      </c>
      <c r="G58" s="67" t="n">
        <f aca="false">IF(G$5="A",Inputs_Actuals!G53,IF(Assumptions!G$201&lt;Contract_Register!$T$18,0,F58*(1+Contract_Register!$M$18/2*Assumptions!$F$178)*IF(AND(Assumptions!G$201&gt;Contract_Register!$T$18,MOD(Assumptions!G$201-Contract_Register!$T$18,Assumptions!$C$90)=0),Contract_Register!$S$18,1)))</f>
        <v>36</v>
      </c>
      <c r="H58" s="67" t="n">
        <f aca="false">IF(H$5="A",Inputs_Actuals!H53,IF(Assumptions!H$201&lt;Contract_Register!$T$18,0,G58*(1+Contract_Register!$M$18/2*Assumptions!$F$178)*IF(AND(Assumptions!H$201&gt;Contract_Register!$T$18,MOD(Assumptions!H$201-Contract_Register!$T$18,Assumptions!$C$90)=0),Contract_Register!$S$18,1)))</f>
        <v>36</v>
      </c>
      <c r="I58" s="67" t="n">
        <f aca="false">IF(I$5="A",Inputs_Actuals!I53,IF(Assumptions!I$201&lt;Contract_Register!$T$18,0,H58*(1+Contract_Register!$M$18/2*Assumptions!$F$178)*IF(AND(Assumptions!I$201&gt;Contract_Register!$T$18,MOD(Assumptions!I$201-Contract_Register!$T$18,Assumptions!$C$90)=0),Contract_Register!$S$18,1)))</f>
        <v>36</v>
      </c>
      <c r="J58" s="67" t="n">
        <f aca="false">IF(J$5="A",Inputs_Actuals!J53,IF(Assumptions!J$201&lt;Contract_Register!$T$18,0,I58*(1+Contract_Register!$M$18/2*Assumptions!$F$178)*IF(AND(Assumptions!J$201&gt;Contract_Register!$T$18,MOD(Assumptions!J$201-Contract_Register!$T$18,Assumptions!$C$90)=0),Contract_Register!$S$18,1)))</f>
        <v>36</v>
      </c>
      <c r="K58" s="67" t="n">
        <f aca="false">IF(K$5="A",Inputs_Actuals!K53,IF(Assumptions!K$201&lt;Contract_Register!$T$18,0,J58*(1+Contract_Register!$M$18/2*Assumptions!$F$178)*IF(AND(Assumptions!K$201&gt;Contract_Register!$T$18,MOD(Assumptions!K$201-Contract_Register!$T$18,Assumptions!$C$90)=0),Contract_Register!$S$18,1)))</f>
        <v>36</v>
      </c>
      <c r="L58" s="67" t="n">
        <f aca="false">IF(L$5="A",Inputs_Actuals!L53,IF(Assumptions!L$201&lt;Contract_Register!$T$18,0,K58*(1+Contract_Register!$M$18/2*Assumptions!$F$178)*IF(AND(Assumptions!L$201&gt;Contract_Register!$T$18,MOD(Assumptions!L$201-Contract_Register!$T$18,Assumptions!$C$90)=0),Contract_Register!$S$18,1)))</f>
        <v>36</v>
      </c>
      <c r="M58" s="67" t="n">
        <f aca="false">IF(M$5="A",Inputs_Actuals!M53,IF(Assumptions!M$201&lt;Contract_Register!$T$18,0,L58*(1+Contract_Register!$M$18/2*Assumptions!$F$178)*IF(AND(Assumptions!M$201&gt;Contract_Register!$T$18,MOD(Assumptions!M$201-Contract_Register!$T$18,Assumptions!$C$90)=0),Contract_Register!$S$18,1)))</f>
        <v>36.018</v>
      </c>
      <c r="N58" s="67" t="n">
        <f aca="false">IF(N$5="A",Inputs_Actuals!N53,IF(Assumptions!N$201&lt;Contract_Register!$T$18,0,M58*(1+Contract_Register!$M$18/2*Assumptions!$F$178)*IF(AND(Assumptions!N$201&gt;Contract_Register!$T$18,MOD(Assumptions!N$201-Contract_Register!$T$18,Assumptions!$C$90)=0),Contract_Register!$S$18,1)))</f>
        <v>36.036009</v>
      </c>
      <c r="O58" s="67" t="n">
        <f aca="false">IF(O$5="A",Inputs_Actuals!O53,IF(Assumptions!O$201&lt;Contract_Register!$T$18,0,N58*(1+Contract_Register!$M$18/2*Assumptions!$F$178)*IF(AND(Assumptions!O$201&gt;Contract_Register!$T$18,MOD(Assumptions!O$201-Contract_Register!$T$18,Assumptions!$C$90)=0),Contract_Register!$S$18,1)))</f>
        <v>33.530245114185</v>
      </c>
      <c r="P58" s="67" t="n">
        <f aca="false">IF(P$5="A",Inputs_Actuals!P53,IF(Assumptions!P$201&lt;Contract_Register!$T$18,0,O58*(1+Contract_Register!$M$18/2*Assumptions!$F$178)*IF(AND(Assumptions!P$201&gt;Contract_Register!$T$18,MOD(Assumptions!P$201-Contract_Register!$T$18,Assumptions!$C$90)=0),Contract_Register!$S$18,1)))</f>
        <v>33.5470102367421</v>
      </c>
      <c r="Q58" s="67" t="n">
        <f aca="false">IF(Q$5="A",Inputs_Actuals!Q53,IF(Assumptions!Q$201&lt;Contract_Register!$T$18,0,P58*(1+Contract_Register!$M$18/2*Assumptions!$F$178)*IF(AND(Assumptions!Q$201&gt;Contract_Register!$T$18,MOD(Assumptions!Q$201-Contract_Register!$T$18,Assumptions!$C$90)=0),Contract_Register!$S$18,1)))</f>
        <v>33.5637837418605</v>
      </c>
      <c r="R58" s="67" t="n">
        <f aca="false">IF(R$5="A",Inputs_Actuals!R53,IF(Assumptions!R$201&lt;Contract_Register!$T$18,0,Q58*(1+Contract_Register!$M$18/2*Assumptions!$F$178)*IF(AND(Assumptions!R$201&gt;Contract_Register!$T$18,MOD(Assumptions!R$201-Contract_Register!$T$18,Assumptions!$C$90)=0),Contract_Register!$S$18,1)))</f>
        <v>33.5805656337314</v>
      </c>
      <c r="S58" s="67" t="n">
        <f aca="false">IF(S$5="A",Inputs_Actuals!S53,IF(Assumptions!S$201&lt;Contract_Register!$T$18,0,R58*(1+Contract_Register!$M$18/2*Assumptions!$F$178)*IF(AND(Assumptions!S$201&gt;Contract_Register!$T$18,MOD(Assumptions!S$201-Contract_Register!$T$18,Assumptions!$C$90)=0),Contract_Register!$S$18,1)))</f>
        <v>33.5973559165483</v>
      </c>
      <c r="T58" s="67" t="n">
        <f aca="false">IF(T$5="A",Inputs_Actuals!T53,IF(Assumptions!T$201&lt;Contract_Register!$T$18,0,S58*(1+Contract_Register!$M$18/2*Assumptions!$F$178)*IF(AND(Assumptions!T$201&gt;Contract_Register!$T$18,MOD(Assumptions!T$201-Contract_Register!$T$18,Assumptions!$C$90)=0),Contract_Register!$S$18,1)))</f>
        <v>33.6141545945065</v>
      </c>
      <c r="U58" s="67" t="n">
        <f aca="false">IF(U$5="A",Inputs_Actuals!U53,IF(Assumptions!U$201&lt;Contract_Register!$T$18,0,T58*(1+Contract_Register!$M$18/2*Assumptions!$F$178)*IF(AND(Assumptions!U$201&gt;Contract_Register!$T$18,MOD(Assumptions!U$201-Contract_Register!$T$18,Assumptions!$C$90)=0),Contract_Register!$S$18,1)))</f>
        <v>33.6309616718038</v>
      </c>
      <c r="V58" s="67" t="n">
        <f aca="false">IF(V$5="A",Inputs_Actuals!V53,IF(Assumptions!V$201&lt;Contract_Register!$T$18,0,U58*(1+Contract_Register!$M$18/2*Assumptions!$F$178)*IF(AND(Assumptions!V$201&gt;Contract_Register!$T$18,MOD(Assumptions!V$201-Contract_Register!$T$18,Assumptions!$C$90)=0),Contract_Register!$S$18,1)))</f>
        <v>33.6477771526397</v>
      </c>
      <c r="W58" s="67" t="n">
        <f aca="false">IF(W$5="A",Inputs_Actuals!W53,IF(Assumptions!W$201&lt;Contract_Register!$T$18,0,V58*(1+Contract_Register!$M$18/2*Assumptions!$F$178)*IF(AND(Assumptions!W$201&gt;Contract_Register!$T$18,MOD(Assumptions!W$201-Contract_Register!$T$18,Assumptions!$C$90)=0),Contract_Register!$S$18,1)))</f>
        <v>33.664601041216</v>
      </c>
      <c r="X58" s="67" t="n">
        <f aca="false">IF(X$5="A",Inputs_Actuals!X53,IF(Assumptions!X$201&lt;Contract_Register!$T$18,0,W58*(1+Contract_Register!$M$18/2*Assumptions!$F$178)*IF(AND(Assumptions!X$201&gt;Contract_Register!$T$18,MOD(Assumptions!X$201-Contract_Register!$T$18,Assumptions!$C$90)=0),Contract_Register!$S$18,1)))</f>
        <v>33.6814333417366</v>
      </c>
      <c r="Y58" s="67" t="n">
        <f aca="false">IF(Y$5="A",Inputs_Actuals!Y53,IF(Assumptions!Y$201&lt;Contract_Register!$T$18,0,X58*(1+Contract_Register!$M$18/2*Assumptions!$F$178)*IF(AND(Assumptions!Y$201&gt;Contract_Register!$T$18,MOD(Assumptions!Y$201-Contract_Register!$T$18,Assumptions!$C$90)=0),Contract_Register!$S$18,1)))</f>
        <v>33.6982740584075</v>
      </c>
      <c r="Z58" s="67" t="n">
        <f aca="false">IF(Z$5="A",Inputs_Actuals!Z53,IF(Assumptions!Z$201&lt;Contract_Register!$T$18,0,Y58*(1+Contract_Register!$M$18/2*Assumptions!$F$178)*IF(AND(Assumptions!Z$201&gt;Contract_Register!$T$18,MOD(Assumptions!Z$201-Contract_Register!$T$18,Assumptions!$C$90)=0),Contract_Register!$S$18,1)))</f>
        <v>33.7151231954367</v>
      </c>
      <c r="AA58" s="67" t="n">
        <f aca="false">IF(AA$5="A",Inputs_Actuals!AA53,IF(Assumptions!AA$201&lt;Contract_Register!$T$18,0,Z58*(1+Contract_Register!$M$18/2*Assumptions!$F$178)*IF(AND(Assumptions!AA$201&gt;Contract_Register!$T$18,MOD(Assumptions!AA$201-Contract_Register!$T$18,Assumptions!$C$90)=0),Contract_Register!$S$18,1)))</f>
        <v>33.7319807570344</v>
      </c>
      <c r="AB58" s="67" t="n">
        <f aca="false">IF(AB$5="A",Inputs_Actuals!AB53,IF(Assumptions!AB$201&lt;Contract_Register!$T$18,0,AA58*(1+Contract_Register!$M$18/2*Assumptions!$F$178)*IF(AND(Assumptions!AB$201&gt;Contract_Register!$T$18,MOD(Assumptions!AB$201-Contract_Register!$T$18,Assumptions!$C$90)=0),Contract_Register!$S$18,1)))</f>
        <v>33.7488467474129</v>
      </c>
    </row>
    <row r="59" customFormat="false" ht="15" hidden="false" customHeight="false" outlineLevel="0" collapsed="false">
      <c r="A59" s="27" t="s">
        <v>825</v>
      </c>
      <c r="B59" s="63" t="s">
        <v>774</v>
      </c>
      <c r="C59" s="66" t="n">
        <f aca="false">P59</f>
        <v>15.0902027025759</v>
      </c>
      <c r="D59" s="66" t="n">
        <f aca="false">AB59</f>
        <v>15.3640784887052</v>
      </c>
      <c r="E59" s="67" t="n">
        <f aca="false">IF(E$5="A",Inputs_Actuals!E54,IF(Assumptions!E$201&lt;Contract_Register!$T$19,0,Contract_Register!$J$19*(1+Contract_Register!$M$19/2*Assumptions!$F$178)*IF(AND(Assumptions!E$201&gt;Contract_Register!$T$19,MOD(Assumptions!E$201-Contract_Register!$T$19,Assumptions!$C$90)=0),Contract_Register!$S$19,1)))</f>
        <v>15</v>
      </c>
      <c r="F59" s="67" t="n">
        <f aca="false">IF(F$5="A",Inputs_Actuals!F54,IF(Assumptions!F$201&lt;Contract_Register!$T$19,0,E59*(1+Contract_Register!$M$19/2*Assumptions!$F$178)*IF(AND(Assumptions!F$201&gt;Contract_Register!$T$19,MOD(Assumptions!F$201-Contract_Register!$T$19,Assumptions!$C$90)=0),Contract_Register!$S$19,1)))</f>
        <v>15</v>
      </c>
      <c r="G59" s="67" t="n">
        <f aca="false">IF(G$5="A",Inputs_Actuals!G54,IF(Assumptions!G$201&lt;Contract_Register!$T$19,0,F59*(1+Contract_Register!$M$19/2*Assumptions!$F$178)*IF(AND(Assumptions!G$201&gt;Contract_Register!$T$19,MOD(Assumptions!G$201-Contract_Register!$T$19,Assumptions!$C$90)=0),Contract_Register!$S$19,1)))</f>
        <v>15</v>
      </c>
      <c r="H59" s="67" t="n">
        <f aca="false">IF(H$5="A",Inputs_Actuals!H54,IF(Assumptions!H$201&lt;Contract_Register!$T$19,0,G59*(1+Contract_Register!$M$19/2*Assumptions!$F$178)*IF(AND(Assumptions!H$201&gt;Contract_Register!$T$19,MOD(Assumptions!H$201-Contract_Register!$T$19,Assumptions!$C$90)=0),Contract_Register!$S$19,1)))</f>
        <v>15</v>
      </c>
      <c r="I59" s="67" t="n">
        <f aca="false">IF(I$5="A",Inputs_Actuals!I54,IF(Assumptions!I$201&lt;Contract_Register!$T$19,0,H59*(1+Contract_Register!$M$19/2*Assumptions!$F$178)*IF(AND(Assumptions!I$201&gt;Contract_Register!$T$19,MOD(Assumptions!I$201-Contract_Register!$T$19,Assumptions!$C$90)=0),Contract_Register!$S$19,1)))</f>
        <v>15</v>
      </c>
      <c r="J59" s="67" t="n">
        <f aca="false">IF(J$5="A",Inputs_Actuals!J54,IF(Assumptions!J$201&lt;Contract_Register!$T$19,0,I59*(1+Contract_Register!$M$19/2*Assumptions!$F$178)*IF(AND(Assumptions!J$201&gt;Contract_Register!$T$19,MOD(Assumptions!J$201-Contract_Register!$T$19,Assumptions!$C$90)=0),Contract_Register!$S$19,1)))</f>
        <v>15</v>
      </c>
      <c r="K59" s="67" t="n">
        <f aca="false">IF(K$5="A",Inputs_Actuals!K54,IF(Assumptions!K$201&lt;Contract_Register!$T$19,0,J59*(1+Contract_Register!$M$19/2*Assumptions!$F$178)*IF(AND(Assumptions!K$201&gt;Contract_Register!$T$19,MOD(Assumptions!K$201-Contract_Register!$T$19,Assumptions!$C$90)=0),Contract_Register!$S$19,1)))</f>
        <v>15</v>
      </c>
      <c r="L59" s="67" t="n">
        <f aca="false">IF(L$5="A",Inputs_Actuals!L54,IF(Assumptions!L$201&lt;Contract_Register!$T$19,0,K59*(1+Contract_Register!$M$19/2*Assumptions!$F$178)*IF(AND(Assumptions!L$201&gt;Contract_Register!$T$19,MOD(Assumptions!L$201-Contract_Register!$T$19,Assumptions!$C$90)=0),Contract_Register!$S$19,1)))</f>
        <v>15</v>
      </c>
      <c r="M59" s="67" t="n">
        <f aca="false">IF(M$5="A",Inputs_Actuals!M54,IF(Assumptions!M$201&lt;Contract_Register!$T$19,0,L59*(1+Contract_Register!$M$19/2*Assumptions!$F$178)*IF(AND(Assumptions!M$201&gt;Contract_Register!$T$19,MOD(Assumptions!M$201-Contract_Register!$T$19,Assumptions!$C$90)=0),Contract_Register!$S$19,1)))</f>
        <v>15.0225</v>
      </c>
      <c r="N59" s="67" t="n">
        <f aca="false">IF(N$5="A",Inputs_Actuals!N54,IF(Assumptions!N$201&lt;Contract_Register!$T$19,0,M59*(1+Contract_Register!$M$19/2*Assumptions!$F$178)*IF(AND(Assumptions!N$201&gt;Contract_Register!$T$19,MOD(Assumptions!N$201-Contract_Register!$T$19,Assumptions!$C$90)=0),Contract_Register!$S$19,1)))</f>
        <v>15.04503375</v>
      </c>
      <c r="O59" s="67" t="n">
        <f aca="false">IF(O$5="A",Inputs_Actuals!O54,IF(Assumptions!O$201&lt;Contract_Register!$T$19,0,N59*(1+Contract_Register!$M$19/2*Assumptions!$F$178)*IF(AND(Assumptions!O$201&gt;Contract_Register!$T$19,MOD(Assumptions!O$201-Contract_Register!$T$19,Assumptions!$C$90)=0),Contract_Register!$S$19,1)))</f>
        <v>15.067601300625</v>
      </c>
      <c r="P59" s="67" t="n">
        <f aca="false">IF(P$5="A",Inputs_Actuals!P54,IF(Assumptions!P$201&lt;Contract_Register!$T$19,0,O59*(1+Contract_Register!$M$19/2*Assumptions!$F$178)*IF(AND(Assumptions!P$201&gt;Contract_Register!$T$19,MOD(Assumptions!P$201-Contract_Register!$T$19,Assumptions!$C$90)=0),Contract_Register!$S$19,1)))</f>
        <v>15.0902027025759</v>
      </c>
      <c r="Q59" s="67" t="n">
        <f aca="false">IF(Q$5="A",Inputs_Actuals!Q54,IF(Assumptions!Q$201&lt;Contract_Register!$T$19,0,P59*(1+Contract_Register!$M$19/2*Assumptions!$F$178)*IF(AND(Assumptions!Q$201&gt;Contract_Register!$T$19,MOD(Assumptions!Q$201-Contract_Register!$T$19,Assumptions!$C$90)=0),Contract_Register!$S$19,1)))</f>
        <v>15.1128380066298</v>
      </c>
      <c r="R59" s="67" t="n">
        <f aca="false">IF(R$5="A",Inputs_Actuals!R54,IF(Assumptions!R$201&lt;Contract_Register!$T$19,0,Q59*(1+Contract_Register!$M$19/2*Assumptions!$F$178)*IF(AND(Assumptions!R$201&gt;Contract_Register!$T$19,MOD(Assumptions!R$201-Contract_Register!$T$19,Assumptions!$C$90)=0),Contract_Register!$S$19,1)))</f>
        <v>15.1355072636398</v>
      </c>
      <c r="S59" s="67" t="n">
        <f aca="false">IF(S$5="A",Inputs_Actuals!S54,IF(Assumptions!S$201&lt;Contract_Register!$T$19,0,R59*(1+Contract_Register!$M$19/2*Assumptions!$F$178)*IF(AND(Assumptions!S$201&gt;Contract_Register!$T$19,MOD(Assumptions!S$201-Contract_Register!$T$19,Assumptions!$C$90)=0),Contract_Register!$S$19,1)))</f>
        <v>15.1582105245352</v>
      </c>
      <c r="T59" s="67" t="n">
        <f aca="false">IF(T$5="A",Inputs_Actuals!T54,IF(Assumptions!T$201&lt;Contract_Register!$T$19,0,S59*(1+Contract_Register!$M$19/2*Assumptions!$F$178)*IF(AND(Assumptions!T$201&gt;Contract_Register!$T$19,MOD(Assumptions!T$201-Contract_Register!$T$19,Assumptions!$C$90)=0),Contract_Register!$S$19,1)))</f>
        <v>15.180947840322</v>
      </c>
      <c r="U59" s="67" t="n">
        <f aca="false">IF(U$5="A",Inputs_Actuals!U54,IF(Assumptions!U$201&lt;Contract_Register!$T$19,0,T59*(1+Contract_Register!$M$19/2*Assumptions!$F$178)*IF(AND(Assumptions!U$201&gt;Contract_Register!$T$19,MOD(Assumptions!U$201-Contract_Register!$T$19,Assumptions!$C$90)=0),Contract_Register!$S$19,1)))</f>
        <v>15.2037192620825</v>
      </c>
      <c r="V59" s="67" t="n">
        <f aca="false">IF(V$5="A",Inputs_Actuals!V54,IF(Assumptions!V$201&lt;Contract_Register!$T$19,0,U59*(1+Contract_Register!$M$19/2*Assumptions!$F$178)*IF(AND(Assumptions!V$201&gt;Contract_Register!$T$19,MOD(Assumptions!V$201-Contract_Register!$T$19,Assumptions!$C$90)=0),Contract_Register!$S$19,1)))</f>
        <v>15.2265248409756</v>
      </c>
      <c r="W59" s="67" t="n">
        <f aca="false">IF(W$5="A",Inputs_Actuals!W54,IF(Assumptions!W$201&lt;Contract_Register!$T$19,0,V59*(1+Contract_Register!$M$19/2*Assumptions!$F$178)*IF(AND(Assumptions!W$201&gt;Contract_Register!$T$19,MOD(Assumptions!W$201-Contract_Register!$T$19,Assumptions!$C$90)=0),Contract_Register!$S$19,1)))</f>
        <v>15.2493646282371</v>
      </c>
      <c r="X59" s="67" t="n">
        <f aca="false">IF(X$5="A",Inputs_Actuals!X54,IF(Assumptions!X$201&lt;Contract_Register!$T$19,0,W59*(1+Contract_Register!$M$19/2*Assumptions!$F$178)*IF(AND(Assumptions!X$201&gt;Contract_Register!$T$19,MOD(Assumptions!X$201-Contract_Register!$T$19,Assumptions!$C$90)=0),Contract_Register!$S$19,1)))</f>
        <v>15.2722386751794</v>
      </c>
      <c r="Y59" s="67" t="n">
        <f aca="false">IF(Y$5="A",Inputs_Actuals!Y54,IF(Assumptions!Y$201&lt;Contract_Register!$T$19,0,X59*(1+Contract_Register!$M$19/2*Assumptions!$F$178)*IF(AND(Assumptions!Y$201&gt;Contract_Register!$T$19,MOD(Assumptions!Y$201-Contract_Register!$T$19,Assumptions!$C$90)=0),Contract_Register!$S$19,1)))</f>
        <v>15.2951470331922</v>
      </c>
      <c r="Z59" s="67" t="n">
        <f aca="false">IF(Z$5="A",Inputs_Actuals!Z54,IF(Assumptions!Z$201&lt;Contract_Register!$T$19,0,Y59*(1+Contract_Register!$M$19/2*Assumptions!$F$178)*IF(AND(Assumptions!Z$201&gt;Contract_Register!$T$19,MOD(Assumptions!Z$201-Contract_Register!$T$19,Assumptions!$C$90)=0),Contract_Register!$S$19,1)))</f>
        <v>15.318089753742</v>
      </c>
      <c r="AA59" s="67" t="n">
        <f aca="false">IF(AA$5="A",Inputs_Actuals!AA54,IF(Assumptions!AA$201&lt;Contract_Register!$T$19,0,Z59*(1+Contract_Register!$M$19/2*Assumptions!$F$178)*IF(AND(Assumptions!AA$201&gt;Contract_Register!$T$19,MOD(Assumptions!AA$201-Contract_Register!$T$19,Assumptions!$C$90)=0),Contract_Register!$S$19,1)))</f>
        <v>15.3410668883726</v>
      </c>
      <c r="AB59" s="67" t="n">
        <f aca="false">IF(AB$5="A",Inputs_Actuals!AB54,IF(Assumptions!AB$201&lt;Contract_Register!$T$19,0,AA59*(1+Contract_Register!$M$19/2*Assumptions!$F$178)*IF(AND(Assumptions!AB$201&gt;Contract_Register!$T$19,MOD(Assumptions!AB$201-Contract_Register!$T$19,Assumptions!$C$90)=0),Contract_Register!$S$19,1)))</f>
        <v>15.3640784887052</v>
      </c>
    </row>
    <row r="60" customFormat="false" ht="15" hidden="false" customHeight="false" outlineLevel="0" collapsed="false">
      <c r="A60" s="27" t="s">
        <v>826</v>
      </c>
      <c r="B60" s="63" t="s">
        <v>774</v>
      </c>
      <c r="C60" s="66" t="n">
        <f aca="false">P60</f>
        <v>28.112168112028</v>
      </c>
      <c r="D60" s="66" t="n">
        <f aca="false">AB60</f>
        <v>28.4513757310825</v>
      </c>
      <c r="E60" s="67" t="n">
        <f aca="false">IF(E$5="A",Inputs_Actuals!E55,IF(Assumptions!E$201&lt;Contract_Register!$T$20,0,Contract_Register!$J$20*(1+Contract_Register!$M$20/2*Assumptions!$F$178)*IF(AND(Assumptions!E$201&gt;Contract_Register!$T$20,MOD(Assumptions!E$201-Contract_Register!$T$20,Assumptions!$C$90)=0),Contract_Register!$S$20,1)))</f>
        <v>28</v>
      </c>
      <c r="F60" s="67" t="n">
        <f aca="false">IF(F$5="A",Inputs_Actuals!F55,IF(Assumptions!F$201&lt;Contract_Register!$T$20,0,E60*(1+Contract_Register!$M$20/2*Assumptions!$F$178)*IF(AND(Assumptions!F$201&gt;Contract_Register!$T$20,MOD(Assumptions!F$201-Contract_Register!$T$20,Assumptions!$C$90)=0),Contract_Register!$S$20,1)))</f>
        <v>28</v>
      </c>
      <c r="G60" s="67" t="n">
        <f aca="false">IF(G$5="A",Inputs_Actuals!G55,IF(Assumptions!G$201&lt;Contract_Register!$T$20,0,F60*(1+Contract_Register!$M$20/2*Assumptions!$F$178)*IF(AND(Assumptions!G$201&gt;Contract_Register!$T$20,MOD(Assumptions!G$201-Contract_Register!$T$20,Assumptions!$C$90)=0),Contract_Register!$S$20,1)))</f>
        <v>28</v>
      </c>
      <c r="H60" s="67" t="n">
        <f aca="false">IF(H$5="A",Inputs_Actuals!H55,IF(Assumptions!H$201&lt;Contract_Register!$T$20,0,G60*(1+Contract_Register!$M$20/2*Assumptions!$F$178)*IF(AND(Assumptions!H$201&gt;Contract_Register!$T$20,MOD(Assumptions!H$201-Contract_Register!$T$20,Assumptions!$C$90)=0),Contract_Register!$S$20,1)))</f>
        <v>28</v>
      </c>
      <c r="I60" s="67" t="n">
        <f aca="false">IF(I$5="A",Inputs_Actuals!I55,IF(Assumptions!I$201&lt;Contract_Register!$T$20,0,H60*(1+Contract_Register!$M$20/2*Assumptions!$F$178)*IF(AND(Assumptions!I$201&gt;Contract_Register!$T$20,MOD(Assumptions!I$201-Contract_Register!$T$20,Assumptions!$C$90)=0),Contract_Register!$S$20,1)))</f>
        <v>28</v>
      </c>
      <c r="J60" s="67" t="n">
        <f aca="false">IF(J$5="A",Inputs_Actuals!J55,IF(Assumptions!J$201&lt;Contract_Register!$T$20,0,I60*(1+Contract_Register!$M$20/2*Assumptions!$F$178)*IF(AND(Assumptions!J$201&gt;Contract_Register!$T$20,MOD(Assumptions!J$201-Contract_Register!$T$20,Assumptions!$C$90)=0),Contract_Register!$S$20,1)))</f>
        <v>28</v>
      </c>
      <c r="K60" s="67" t="n">
        <f aca="false">IF(K$5="A",Inputs_Actuals!K55,IF(Assumptions!K$201&lt;Contract_Register!$T$20,0,J60*(1+Contract_Register!$M$20/2*Assumptions!$F$178)*IF(AND(Assumptions!K$201&gt;Contract_Register!$T$20,MOD(Assumptions!K$201-Contract_Register!$T$20,Assumptions!$C$90)=0),Contract_Register!$S$20,1)))</f>
        <v>28</v>
      </c>
      <c r="L60" s="67" t="n">
        <f aca="false">IF(L$5="A",Inputs_Actuals!L55,IF(Assumptions!L$201&lt;Contract_Register!$T$20,0,K60*(1+Contract_Register!$M$20/2*Assumptions!$F$178)*IF(AND(Assumptions!L$201&gt;Contract_Register!$T$20,MOD(Assumptions!L$201-Contract_Register!$T$20,Assumptions!$C$90)=0),Contract_Register!$S$20,1)))</f>
        <v>28</v>
      </c>
      <c r="M60" s="67" t="n">
        <f aca="false">IF(M$5="A",Inputs_Actuals!M55,IF(Assumptions!M$201&lt;Contract_Register!$T$20,0,L60*(1+Contract_Register!$M$20/2*Assumptions!$F$178)*IF(AND(Assumptions!M$201&gt;Contract_Register!$T$20,MOD(Assumptions!M$201-Contract_Register!$T$20,Assumptions!$C$90)=0),Contract_Register!$S$20,1)))</f>
        <v>28.028</v>
      </c>
      <c r="N60" s="67" t="n">
        <f aca="false">IF(N$5="A",Inputs_Actuals!N55,IF(Assumptions!N$201&lt;Contract_Register!$T$20,0,M60*(1+Contract_Register!$M$20/2*Assumptions!$F$178)*IF(AND(Assumptions!N$201&gt;Contract_Register!$T$20,MOD(Assumptions!N$201-Contract_Register!$T$20,Assumptions!$C$90)=0),Contract_Register!$S$20,1)))</f>
        <v>28.056028</v>
      </c>
      <c r="O60" s="67" t="n">
        <f aca="false">IF(O$5="A",Inputs_Actuals!O55,IF(Assumptions!O$201&lt;Contract_Register!$T$20,0,N60*(1+Contract_Register!$M$20/2*Assumptions!$F$178)*IF(AND(Assumptions!O$201&gt;Contract_Register!$T$20,MOD(Assumptions!O$201-Contract_Register!$T$20,Assumptions!$C$90)=0),Contract_Register!$S$20,1)))</f>
        <v>28.084084028</v>
      </c>
      <c r="P60" s="67" t="n">
        <f aca="false">IF(P$5="A",Inputs_Actuals!P55,IF(Assumptions!P$201&lt;Contract_Register!$T$20,0,O60*(1+Contract_Register!$M$20/2*Assumptions!$F$178)*IF(AND(Assumptions!P$201&gt;Contract_Register!$T$20,MOD(Assumptions!P$201-Contract_Register!$T$20,Assumptions!$C$90)=0),Contract_Register!$S$20,1)))</f>
        <v>28.112168112028</v>
      </c>
      <c r="Q60" s="67" t="n">
        <f aca="false">IF(Q$5="A",Inputs_Actuals!Q55,IF(Assumptions!Q$201&lt;Contract_Register!$T$20,0,P60*(1+Contract_Register!$M$20/2*Assumptions!$F$178)*IF(AND(Assumptions!Q$201&gt;Contract_Register!$T$20,MOD(Assumptions!Q$201-Contract_Register!$T$20,Assumptions!$C$90)=0),Contract_Register!$S$20,1)))</f>
        <v>28.14028028014</v>
      </c>
      <c r="R60" s="67" t="n">
        <f aca="false">IF(R$5="A",Inputs_Actuals!R55,IF(Assumptions!R$201&lt;Contract_Register!$T$20,0,Q60*(1+Contract_Register!$M$20/2*Assumptions!$F$178)*IF(AND(Assumptions!R$201&gt;Contract_Register!$T$20,MOD(Assumptions!R$201-Contract_Register!$T$20,Assumptions!$C$90)=0),Contract_Register!$S$20,1)))</f>
        <v>28.1684205604202</v>
      </c>
      <c r="S60" s="67" t="n">
        <f aca="false">IF(S$5="A",Inputs_Actuals!S55,IF(Assumptions!S$201&lt;Contract_Register!$T$20,0,R60*(1+Contract_Register!$M$20/2*Assumptions!$F$178)*IF(AND(Assumptions!S$201&gt;Contract_Register!$T$20,MOD(Assumptions!S$201-Contract_Register!$T$20,Assumptions!$C$90)=0),Contract_Register!$S$20,1)))</f>
        <v>28.1965889809806</v>
      </c>
      <c r="T60" s="67" t="n">
        <f aca="false">IF(T$5="A",Inputs_Actuals!T55,IF(Assumptions!T$201&lt;Contract_Register!$T$20,0,S60*(1+Contract_Register!$M$20/2*Assumptions!$F$178)*IF(AND(Assumptions!T$201&gt;Contract_Register!$T$20,MOD(Assumptions!T$201-Contract_Register!$T$20,Assumptions!$C$90)=0),Contract_Register!$S$20,1)))</f>
        <v>28.2247855699615</v>
      </c>
      <c r="U60" s="67" t="n">
        <f aca="false">IF(U$5="A",Inputs_Actuals!U55,IF(Assumptions!U$201&lt;Contract_Register!$T$20,0,T60*(1+Contract_Register!$M$20/2*Assumptions!$F$178)*IF(AND(Assumptions!U$201&gt;Contract_Register!$T$20,MOD(Assumptions!U$201-Contract_Register!$T$20,Assumptions!$C$90)=0),Contract_Register!$S$20,1)))</f>
        <v>28.2530103555315</v>
      </c>
      <c r="V60" s="67" t="n">
        <f aca="false">IF(V$5="A",Inputs_Actuals!V55,IF(Assumptions!V$201&lt;Contract_Register!$T$20,0,U60*(1+Contract_Register!$M$20/2*Assumptions!$F$178)*IF(AND(Assumptions!V$201&gt;Contract_Register!$T$20,MOD(Assumptions!V$201-Contract_Register!$T$20,Assumptions!$C$90)=0),Contract_Register!$S$20,1)))</f>
        <v>28.281263365887</v>
      </c>
      <c r="W60" s="67" t="n">
        <f aca="false">IF(W$5="A",Inputs_Actuals!W55,IF(Assumptions!W$201&lt;Contract_Register!$T$20,0,V60*(1+Contract_Register!$M$20/2*Assumptions!$F$178)*IF(AND(Assumptions!W$201&gt;Contract_Register!$T$20,MOD(Assumptions!W$201-Contract_Register!$T$20,Assumptions!$C$90)=0),Contract_Register!$S$20,1)))</f>
        <v>28.3095446292529</v>
      </c>
      <c r="X60" s="67" t="n">
        <f aca="false">IF(X$5="A",Inputs_Actuals!X55,IF(Assumptions!X$201&lt;Contract_Register!$T$20,0,W60*(1+Contract_Register!$M$20/2*Assumptions!$F$178)*IF(AND(Assumptions!X$201&gt;Contract_Register!$T$20,MOD(Assumptions!X$201-Contract_Register!$T$20,Assumptions!$C$90)=0),Contract_Register!$S$20,1)))</f>
        <v>28.3378541738822</v>
      </c>
      <c r="Y60" s="67" t="n">
        <f aca="false">IF(Y$5="A",Inputs_Actuals!Y55,IF(Assumptions!Y$201&lt;Contract_Register!$T$20,0,X60*(1+Contract_Register!$M$20/2*Assumptions!$F$178)*IF(AND(Assumptions!Y$201&gt;Contract_Register!$T$20,MOD(Assumptions!Y$201-Contract_Register!$T$20,Assumptions!$C$90)=0),Contract_Register!$S$20,1)))</f>
        <v>28.366192028056</v>
      </c>
      <c r="Z60" s="67" t="n">
        <f aca="false">IF(Z$5="A",Inputs_Actuals!Z55,IF(Assumptions!Z$201&lt;Contract_Register!$T$20,0,Y60*(1+Contract_Register!$M$20/2*Assumptions!$F$178)*IF(AND(Assumptions!Z$201&gt;Contract_Register!$T$20,MOD(Assumptions!Z$201-Contract_Register!$T$20,Assumptions!$C$90)=0),Contract_Register!$S$20,1)))</f>
        <v>28.3945582200841</v>
      </c>
      <c r="AA60" s="67" t="n">
        <f aca="false">IF(AA$5="A",Inputs_Actuals!AA55,IF(Assumptions!AA$201&lt;Contract_Register!$T$20,0,Z60*(1+Contract_Register!$M$20/2*Assumptions!$F$178)*IF(AND(Assumptions!AA$201&gt;Contract_Register!$T$20,MOD(Assumptions!AA$201-Contract_Register!$T$20,Assumptions!$C$90)=0),Contract_Register!$S$20,1)))</f>
        <v>28.4229527783042</v>
      </c>
      <c r="AB60" s="67" t="n">
        <f aca="false">IF(AB$5="A",Inputs_Actuals!AB55,IF(Assumptions!AB$201&lt;Contract_Register!$T$20,0,AA60*(1+Contract_Register!$M$20/2*Assumptions!$F$178)*IF(AND(Assumptions!AB$201&gt;Contract_Register!$T$20,MOD(Assumptions!AB$201-Contract_Register!$T$20,Assumptions!$C$90)=0),Contract_Register!$S$20,1)))</f>
        <v>28.4513757310825</v>
      </c>
    </row>
    <row r="61" customFormat="false" ht="15" hidden="false" customHeight="false" outlineLevel="0" collapsed="false">
      <c r="A61" s="27" t="s">
        <v>827</v>
      </c>
      <c r="B61" s="63" t="s">
        <v>774</v>
      </c>
      <c r="C61" s="66" t="n">
        <f aca="false">P61</f>
        <v>20.1202702701013</v>
      </c>
      <c r="D61" s="66" t="n">
        <f aca="false">AB61</f>
        <v>19.2563117058438</v>
      </c>
      <c r="E61" s="67" t="n">
        <f aca="false">IF(E$5="A",Inputs_Actuals!E56,IF(Assumptions!E$201&lt;Contract_Register!$T$21,0,Contract_Register!$J$21*(1+Contract_Register!$M$21/2*Assumptions!$F$178)*IF(AND(Assumptions!E$201&gt;Contract_Register!$T$21,MOD(Assumptions!E$201-Contract_Register!$T$21,Assumptions!$C$90)=0),Contract_Register!$S$21,1)))</f>
        <v>20</v>
      </c>
      <c r="F61" s="67" t="n">
        <f aca="false">IF(F$5="A",Inputs_Actuals!F56,IF(Assumptions!F$201&lt;Contract_Register!$T$21,0,E61*(1+Contract_Register!$M$21/2*Assumptions!$F$178)*IF(AND(Assumptions!F$201&gt;Contract_Register!$T$21,MOD(Assumptions!F$201-Contract_Register!$T$21,Assumptions!$C$90)=0),Contract_Register!$S$21,1)))</f>
        <v>20</v>
      </c>
      <c r="G61" s="67" t="n">
        <f aca="false">IF(G$5="A",Inputs_Actuals!G56,IF(Assumptions!G$201&lt;Contract_Register!$T$21,0,F61*(1+Contract_Register!$M$21/2*Assumptions!$F$178)*IF(AND(Assumptions!G$201&gt;Contract_Register!$T$21,MOD(Assumptions!G$201-Contract_Register!$T$21,Assumptions!$C$90)=0),Contract_Register!$S$21,1)))</f>
        <v>20</v>
      </c>
      <c r="H61" s="67" t="n">
        <f aca="false">IF(H$5="A",Inputs_Actuals!H56,IF(Assumptions!H$201&lt;Contract_Register!$T$21,0,G61*(1+Contract_Register!$M$21/2*Assumptions!$F$178)*IF(AND(Assumptions!H$201&gt;Contract_Register!$T$21,MOD(Assumptions!H$201-Contract_Register!$T$21,Assumptions!$C$90)=0),Contract_Register!$S$21,1)))</f>
        <v>20</v>
      </c>
      <c r="I61" s="67" t="n">
        <f aca="false">IF(I$5="A",Inputs_Actuals!I56,IF(Assumptions!I$201&lt;Contract_Register!$T$21,0,H61*(1+Contract_Register!$M$21/2*Assumptions!$F$178)*IF(AND(Assumptions!I$201&gt;Contract_Register!$T$21,MOD(Assumptions!I$201-Contract_Register!$T$21,Assumptions!$C$90)=0),Contract_Register!$S$21,1)))</f>
        <v>20</v>
      </c>
      <c r="J61" s="67" t="n">
        <f aca="false">IF(J$5="A",Inputs_Actuals!J56,IF(Assumptions!J$201&lt;Contract_Register!$T$21,0,I61*(1+Contract_Register!$M$21/2*Assumptions!$F$178)*IF(AND(Assumptions!J$201&gt;Contract_Register!$T$21,MOD(Assumptions!J$201-Contract_Register!$T$21,Assumptions!$C$90)=0),Contract_Register!$S$21,1)))</f>
        <v>20</v>
      </c>
      <c r="K61" s="67" t="n">
        <f aca="false">IF(K$5="A",Inputs_Actuals!K56,IF(Assumptions!K$201&lt;Contract_Register!$T$21,0,J61*(1+Contract_Register!$M$21/2*Assumptions!$F$178)*IF(AND(Assumptions!K$201&gt;Contract_Register!$T$21,MOD(Assumptions!K$201-Contract_Register!$T$21,Assumptions!$C$90)=0),Contract_Register!$S$21,1)))</f>
        <v>20</v>
      </c>
      <c r="L61" s="67" t="n">
        <f aca="false">IF(L$5="A",Inputs_Actuals!L56,IF(Assumptions!L$201&lt;Contract_Register!$T$21,0,K61*(1+Contract_Register!$M$21/2*Assumptions!$F$178)*IF(AND(Assumptions!L$201&gt;Contract_Register!$T$21,MOD(Assumptions!L$201-Contract_Register!$T$21,Assumptions!$C$90)=0),Contract_Register!$S$21,1)))</f>
        <v>20</v>
      </c>
      <c r="M61" s="67" t="n">
        <f aca="false">IF(M$5="A",Inputs_Actuals!M56,IF(Assumptions!M$201&lt;Contract_Register!$T$21,0,L61*(1+Contract_Register!$M$21/2*Assumptions!$F$178)*IF(AND(Assumptions!M$201&gt;Contract_Register!$T$21,MOD(Assumptions!M$201-Contract_Register!$T$21,Assumptions!$C$90)=0),Contract_Register!$S$21,1)))</f>
        <v>20.03</v>
      </c>
      <c r="N61" s="67" t="n">
        <f aca="false">IF(N$5="A",Inputs_Actuals!N56,IF(Assumptions!N$201&lt;Contract_Register!$T$21,0,M61*(1+Contract_Register!$M$21/2*Assumptions!$F$178)*IF(AND(Assumptions!N$201&gt;Contract_Register!$T$21,MOD(Assumptions!N$201-Contract_Register!$T$21,Assumptions!$C$90)=0),Contract_Register!$S$21,1)))</f>
        <v>20.060045</v>
      </c>
      <c r="O61" s="67" t="n">
        <f aca="false">IF(O$5="A",Inputs_Actuals!O56,IF(Assumptions!O$201&lt;Contract_Register!$T$21,0,N61*(1+Contract_Register!$M$21/2*Assumptions!$F$178)*IF(AND(Assumptions!O$201&gt;Contract_Register!$T$21,MOD(Assumptions!O$201-Contract_Register!$T$21,Assumptions!$C$90)=0),Contract_Register!$S$21,1)))</f>
        <v>20.0901350675</v>
      </c>
      <c r="P61" s="67" t="n">
        <f aca="false">IF(P$5="A",Inputs_Actuals!P56,IF(Assumptions!P$201&lt;Contract_Register!$T$21,0,O61*(1+Contract_Register!$M$21/2*Assumptions!$F$178)*IF(AND(Assumptions!P$201&gt;Contract_Register!$T$21,MOD(Assumptions!P$201-Contract_Register!$T$21,Assumptions!$C$90)=0),Contract_Register!$S$21,1)))</f>
        <v>20.1202702701013</v>
      </c>
      <c r="Q61" s="67" t="n">
        <f aca="false">IF(Q$5="A",Inputs_Actuals!Q56,IF(Assumptions!Q$201&lt;Contract_Register!$T$21,0,P61*(1+Contract_Register!$M$21/2*Assumptions!$F$178)*IF(AND(Assumptions!Q$201&gt;Contract_Register!$T$21,MOD(Assumptions!Q$201-Contract_Register!$T$21,Assumptions!$C$90)=0),Contract_Register!$S$21,1)))</f>
        <v>20.1504506755064</v>
      </c>
      <c r="R61" s="67" t="n">
        <f aca="false">IF(R$5="A",Inputs_Actuals!R56,IF(Assumptions!R$201&lt;Contract_Register!$T$21,0,Q61*(1+Contract_Register!$M$21/2*Assumptions!$F$178)*IF(AND(Assumptions!R$201&gt;Contract_Register!$T$21,MOD(Assumptions!R$201-Contract_Register!$T$21,Assumptions!$C$90)=0),Contract_Register!$S$21,1)))</f>
        <v>20.1806763515197</v>
      </c>
      <c r="S61" s="67" t="n">
        <f aca="false">IF(S$5="A",Inputs_Actuals!S56,IF(Assumptions!S$201&lt;Contract_Register!$T$21,0,R61*(1+Contract_Register!$M$21/2*Assumptions!$F$178)*IF(AND(Assumptions!S$201&gt;Contract_Register!$T$21,MOD(Assumptions!S$201-Contract_Register!$T$21,Assumptions!$C$90)=0),Contract_Register!$S$21,1)))</f>
        <v>20.210947366047</v>
      </c>
      <c r="T61" s="67" t="n">
        <f aca="false">IF(T$5="A",Inputs_Actuals!T56,IF(Assumptions!T$201&lt;Contract_Register!$T$21,0,S61*(1+Contract_Register!$M$21/2*Assumptions!$F$178)*IF(AND(Assumptions!T$201&gt;Contract_Register!$T$21,MOD(Assumptions!T$201-Contract_Register!$T$21,Assumptions!$C$90)=0),Contract_Register!$S$21,1)))</f>
        <v>20.241263787096</v>
      </c>
      <c r="U61" s="67" t="n">
        <f aca="false">IF(U$5="A",Inputs_Actuals!U56,IF(Assumptions!U$201&lt;Contract_Register!$T$21,0,T61*(1+Contract_Register!$M$21/2*Assumptions!$F$178)*IF(AND(Assumptions!U$201&gt;Contract_Register!$T$21,MOD(Assumptions!U$201-Contract_Register!$T$21,Assumptions!$C$90)=0),Contract_Register!$S$21,1)))</f>
        <v>19.0553281418101</v>
      </c>
      <c r="V61" s="67" t="n">
        <f aca="false">IF(V$5="A",Inputs_Actuals!V56,IF(Assumptions!V$201&lt;Contract_Register!$T$21,0,U61*(1+Contract_Register!$M$21/2*Assumptions!$F$178)*IF(AND(Assumptions!V$201&gt;Contract_Register!$T$21,MOD(Assumptions!V$201-Contract_Register!$T$21,Assumptions!$C$90)=0),Contract_Register!$S$21,1)))</f>
        <v>19.0839111340228</v>
      </c>
      <c r="W61" s="67" t="n">
        <f aca="false">IF(W$5="A",Inputs_Actuals!W56,IF(Assumptions!W$201&lt;Contract_Register!$T$21,0,V61*(1+Contract_Register!$M$21/2*Assumptions!$F$178)*IF(AND(Assumptions!W$201&gt;Contract_Register!$T$21,MOD(Assumptions!W$201-Contract_Register!$T$21,Assumptions!$C$90)=0),Contract_Register!$S$21,1)))</f>
        <v>19.1125370007238</v>
      </c>
      <c r="X61" s="67" t="n">
        <f aca="false">IF(X$5="A",Inputs_Actuals!X56,IF(Assumptions!X$201&lt;Contract_Register!$T$21,0,W61*(1+Contract_Register!$M$21/2*Assumptions!$F$178)*IF(AND(Assumptions!X$201&gt;Contract_Register!$T$21,MOD(Assumptions!X$201-Contract_Register!$T$21,Assumptions!$C$90)=0),Contract_Register!$S$21,1)))</f>
        <v>19.1412058062249</v>
      </c>
      <c r="Y61" s="67" t="n">
        <f aca="false">IF(Y$5="A",Inputs_Actuals!Y56,IF(Assumptions!Y$201&lt;Contract_Register!$T$21,0,X61*(1+Contract_Register!$M$21/2*Assumptions!$F$178)*IF(AND(Assumptions!Y$201&gt;Contract_Register!$T$21,MOD(Assumptions!Y$201-Contract_Register!$T$21,Assumptions!$C$90)=0),Contract_Register!$S$21,1)))</f>
        <v>19.1699176149342</v>
      </c>
      <c r="Z61" s="67" t="n">
        <f aca="false">IF(Z$5="A",Inputs_Actuals!Z56,IF(Assumptions!Z$201&lt;Contract_Register!$T$21,0,Y61*(1+Contract_Register!$M$21/2*Assumptions!$F$178)*IF(AND(Assumptions!Z$201&gt;Contract_Register!$T$21,MOD(Assumptions!Z$201-Contract_Register!$T$21,Assumptions!$C$90)=0),Contract_Register!$S$21,1)))</f>
        <v>19.1986724913566</v>
      </c>
      <c r="AA61" s="67" t="n">
        <f aca="false">IF(AA$5="A",Inputs_Actuals!AA56,IF(Assumptions!AA$201&lt;Contract_Register!$T$21,0,Z61*(1+Contract_Register!$M$21/2*Assumptions!$F$178)*IF(AND(Assumptions!AA$201&gt;Contract_Register!$T$21,MOD(Assumptions!AA$201-Contract_Register!$T$21,Assumptions!$C$90)=0),Contract_Register!$S$21,1)))</f>
        <v>19.2274705000937</v>
      </c>
      <c r="AB61" s="67" t="n">
        <f aca="false">IF(AB$5="A",Inputs_Actuals!AB56,IF(Assumptions!AB$201&lt;Contract_Register!$T$21,0,AA61*(1+Contract_Register!$M$21/2*Assumptions!$F$178)*IF(AND(Assumptions!AB$201&gt;Contract_Register!$T$21,MOD(Assumptions!AB$201-Contract_Register!$T$21,Assumptions!$C$90)=0),Contract_Register!$S$21,1)))</f>
        <v>19.2563117058438</v>
      </c>
    </row>
    <row r="62" customFormat="false" ht="15" hidden="false" customHeight="false" outlineLevel="0" collapsed="false">
      <c r="A62" s="27" t="s">
        <v>828</v>
      </c>
      <c r="B62" s="63" t="s">
        <v>774</v>
      </c>
      <c r="C62" s="66" t="n">
        <f aca="false">P62</f>
        <v>47.935751783923</v>
      </c>
      <c r="D62" s="66" t="n">
        <f aca="false">AB62</f>
        <v>48.2241585542483</v>
      </c>
      <c r="E62" s="67" t="n">
        <f aca="false">IF(E$5="A",Inputs_Actuals!E57,IF(Assumptions!E$201&lt;Contract_Register!$T$22,0,Contract_Register!$J$22*(1+Contract_Register!$M$22/2*Assumptions!$F$178)*IF(AND(Assumptions!E$201&gt;Contract_Register!$T$22,MOD(Assumptions!E$201-Contract_Register!$T$22,Assumptions!$C$90)=0),Contract_Register!$S$22,1)))</f>
        <v>52</v>
      </c>
      <c r="F62" s="67" t="n">
        <f aca="false">IF(F$5="A",Inputs_Actuals!F57,IF(Assumptions!F$201&lt;Contract_Register!$T$22,0,E62*(1+Contract_Register!$M$22/2*Assumptions!$F$178)*IF(AND(Assumptions!F$201&gt;Contract_Register!$T$22,MOD(Assumptions!F$201-Contract_Register!$T$22,Assumptions!$C$90)=0),Contract_Register!$S$22,1)))</f>
        <v>52</v>
      </c>
      <c r="G62" s="67" t="n">
        <f aca="false">IF(G$5="A",Inputs_Actuals!G57,IF(Assumptions!G$201&lt;Contract_Register!$T$22,0,F62*(1+Contract_Register!$M$22/2*Assumptions!$F$178)*IF(AND(Assumptions!G$201&gt;Contract_Register!$T$22,MOD(Assumptions!G$201-Contract_Register!$T$22,Assumptions!$C$90)=0),Contract_Register!$S$22,1)))</f>
        <v>52</v>
      </c>
      <c r="H62" s="67" t="n">
        <f aca="false">IF(H$5="A",Inputs_Actuals!H57,IF(Assumptions!H$201&lt;Contract_Register!$T$22,0,G62*(1+Contract_Register!$M$22/2*Assumptions!$F$178)*IF(AND(Assumptions!H$201&gt;Contract_Register!$T$22,MOD(Assumptions!H$201-Contract_Register!$T$22,Assumptions!$C$90)=0),Contract_Register!$S$22,1)))</f>
        <v>52</v>
      </c>
      <c r="I62" s="67" t="n">
        <f aca="false">IF(I$5="A",Inputs_Actuals!I57,IF(Assumptions!I$201&lt;Contract_Register!$T$22,0,H62*(1+Contract_Register!$M$22/2*Assumptions!$F$178)*IF(AND(Assumptions!I$201&gt;Contract_Register!$T$22,MOD(Assumptions!I$201-Contract_Register!$T$22,Assumptions!$C$90)=0),Contract_Register!$S$22,1)))</f>
        <v>52</v>
      </c>
      <c r="J62" s="67" t="n">
        <f aca="false">IF(J$5="A",Inputs_Actuals!J57,IF(Assumptions!J$201&lt;Contract_Register!$T$22,0,I62*(1+Contract_Register!$M$22/2*Assumptions!$F$178)*IF(AND(Assumptions!J$201&gt;Contract_Register!$T$22,MOD(Assumptions!J$201-Contract_Register!$T$22,Assumptions!$C$90)=0),Contract_Register!$S$22,1)))</f>
        <v>53</v>
      </c>
      <c r="K62" s="67" t="n">
        <f aca="false">IF(K$5="A",Inputs_Actuals!K57,IF(Assumptions!K$201&lt;Contract_Register!$T$22,0,J62*(1+Contract_Register!$M$22/2*Assumptions!$F$178)*IF(AND(Assumptions!K$201&gt;Contract_Register!$T$22,MOD(Assumptions!K$201-Contract_Register!$T$22,Assumptions!$C$90)=0),Contract_Register!$S$22,1)))</f>
        <v>52</v>
      </c>
      <c r="L62" s="67" t="n">
        <f aca="false">IF(L$5="A",Inputs_Actuals!L57,IF(Assumptions!L$201&lt;Contract_Register!$T$22,0,K62*(1+Contract_Register!$M$22/2*Assumptions!$F$178)*IF(AND(Assumptions!L$201&gt;Contract_Register!$T$22,MOD(Assumptions!L$201-Contract_Register!$T$22,Assumptions!$C$90)=0),Contract_Register!$S$22,1)))</f>
        <v>52</v>
      </c>
      <c r="M62" s="67" t="n">
        <f aca="false">IF(M$5="A",Inputs_Actuals!M57,IF(Assumptions!M$201&lt;Contract_Register!$T$22,0,L62*(1+Contract_Register!$M$22/2*Assumptions!$F$178)*IF(AND(Assumptions!M$201&gt;Contract_Register!$T$22,MOD(Assumptions!M$201-Contract_Register!$T$22,Assumptions!$C$90)=0),Contract_Register!$S$22,1)))</f>
        <v>52.026</v>
      </c>
      <c r="N62" s="67" t="n">
        <f aca="false">IF(N$5="A",Inputs_Actuals!N57,IF(Assumptions!N$201&lt;Contract_Register!$T$22,0,M62*(1+Contract_Register!$M$22/2*Assumptions!$F$178)*IF(AND(Assumptions!N$201&gt;Contract_Register!$T$22,MOD(Assumptions!N$201-Contract_Register!$T$22,Assumptions!$C$90)=0),Contract_Register!$S$22,1)))</f>
        <v>47.88785196</v>
      </c>
      <c r="O62" s="67" t="n">
        <f aca="false">IF(O$5="A",Inputs_Actuals!O57,IF(Assumptions!O$201&lt;Contract_Register!$T$22,0,N62*(1+Contract_Register!$M$22/2*Assumptions!$F$178)*IF(AND(Assumptions!O$201&gt;Contract_Register!$T$22,MOD(Assumptions!O$201-Contract_Register!$T$22,Assumptions!$C$90)=0),Contract_Register!$S$22,1)))</f>
        <v>47.91179588598</v>
      </c>
      <c r="P62" s="67" t="n">
        <f aca="false">IF(P$5="A",Inputs_Actuals!P57,IF(Assumptions!P$201&lt;Contract_Register!$T$22,0,O62*(1+Contract_Register!$M$22/2*Assumptions!$F$178)*IF(AND(Assumptions!P$201&gt;Contract_Register!$T$22,MOD(Assumptions!P$201-Contract_Register!$T$22,Assumptions!$C$90)=0),Contract_Register!$S$22,1)))</f>
        <v>47.935751783923</v>
      </c>
      <c r="Q62" s="67" t="n">
        <f aca="false">IF(Q$5="A",Inputs_Actuals!Q57,IF(Assumptions!Q$201&lt;Contract_Register!$T$22,0,P62*(1+Contract_Register!$M$22/2*Assumptions!$F$178)*IF(AND(Assumptions!Q$201&gt;Contract_Register!$T$22,MOD(Assumptions!Q$201-Contract_Register!$T$22,Assumptions!$C$90)=0),Contract_Register!$S$22,1)))</f>
        <v>47.959719659815</v>
      </c>
      <c r="R62" s="67" t="n">
        <f aca="false">IF(R$5="A",Inputs_Actuals!R57,IF(Assumptions!R$201&lt;Contract_Register!$T$22,0,Q62*(1+Contract_Register!$M$22/2*Assumptions!$F$178)*IF(AND(Assumptions!R$201&gt;Contract_Register!$T$22,MOD(Assumptions!R$201-Contract_Register!$T$22,Assumptions!$C$90)=0),Contract_Register!$S$22,1)))</f>
        <v>47.9836995196449</v>
      </c>
      <c r="S62" s="67" t="n">
        <f aca="false">IF(S$5="A",Inputs_Actuals!S57,IF(Assumptions!S$201&lt;Contract_Register!$T$22,0,R62*(1+Contract_Register!$M$22/2*Assumptions!$F$178)*IF(AND(Assumptions!S$201&gt;Contract_Register!$T$22,MOD(Assumptions!S$201-Contract_Register!$T$22,Assumptions!$C$90)=0),Contract_Register!$S$22,1)))</f>
        <v>48.0076913694047</v>
      </c>
      <c r="T62" s="67" t="n">
        <f aca="false">IF(T$5="A",Inputs_Actuals!T57,IF(Assumptions!T$201&lt;Contract_Register!$T$22,0,S62*(1+Contract_Register!$M$22/2*Assumptions!$F$178)*IF(AND(Assumptions!T$201&gt;Contract_Register!$T$22,MOD(Assumptions!T$201-Contract_Register!$T$22,Assumptions!$C$90)=0),Contract_Register!$S$22,1)))</f>
        <v>48.0316952150894</v>
      </c>
      <c r="U62" s="67" t="n">
        <f aca="false">IF(U$5="A",Inputs_Actuals!U57,IF(Assumptions!U$201&lt;Contract_Register!$T$22,0,T62*(1+Contract_Register!$M$22/2*Assumptions!$F$178)*IF(AND(Assumptions!U$201&gt;Contract_Register!$T$22,MOD(Assumptions!U$201-Contract_Register!$T$22,Assumptions!$C$90)=0),Contract_Register!$S$22,1)))</f>
        <v>48.0557110626969</v>
      </c>
      <c r="V62" s="67" t="n">
        <f aca="false">IF(V$5="A",Inputs_Actuals!V57,IF(Assumptions!V$201&lt;Contract_Register!$T$22,0,U62*(1+Contract_Register!$M$22/2*Assumptions!$F$178)*IF(AND(Assumptions!V$201&gt;Contract_Register!$T$22,MOD(Assumptions!V$201-Contract_Register!$T$22,Assumptions!$C$90)=0),Contract_Register!$S$22,1)))</f>
        <v>48.0797389182283</v>
      </c>
      <c r="W62" s="67" t="n">
        <f aca="false">IF(W$5="A",Inputs_Actuals!W57,IF(Assumptions!W$201&lt;Contract_Register!$T$22,0,V62*(1+Contract_Register!$M$22/2*Assumptions!$F$178)*IF(AND(Assumptions!W$201&gt;Contract_Register!$T$22,MOD(Assumptions!W$201-Contract_Register!$T$22,Assumptions!$C$90)=0),Contract_Register!$S$22,1)))</f>
        <v>48.1037787876874</v>
      </c>
      <c r="X62" s="67" t="n">
        <f aca="false">IF(X$5="A",Inputs_Actuals!X57,IF(Assumptions!X$201&lt;Contract_Register!$T$22,0,W62*(1+Contract_Register!$M$22/2*Assumptions!$F$178)*IF(AND(Assumptions!X$201&gt;Contract_Register!$T$22,MOD(Assumptions!X$201-Contract_Register!$T$22,Assumptions!$C$90)=0),Contract_Register!$S$22,1)))</f>
        <v>48.1278306770812</v>
      </c>
      <c r="Y62" s="67" t="n">
        <f aca="false">IF(Y$5="A",Inputs_Actuals!Y57,IF(Assumptions!Y$201&lt;Contract_Register!$T$22,0,X62*(1+Contract_Register!$M$22/2*Assumptions!$F$178)*IF(AND(Assumptions!Y$201&gt;Contract_Register!$T$22,MOD(Assumptions!Y$201-Contract_Register!$T$22,Assumptions!$C$90)=0),Contract_Register!$S$22,1)))</f>
        <v>48.1518945924198</v>
      </c>
      <c r="Z62" s="67" t="n">
        <f aca="false">IF(Z$5="A",Inputs_Actuals!Z57,IF(Assumptions!Z$201&lt;Contract_Register!$T$22,0,Y62*(1+Contract_Register!$M$22/2*Assumptions!$F$178)*IF(AND(Assumptions!Z$201&gt;Contract_Register!$T$22,MOD(Assumptions!Z$201-Contract_Register!$T$22,Assumptions!$C$90)=0),Contract_Register!$S$22,1)))</f>
        <v>48.175970539716</v>
      </c>
      <c r="AA62" s="67" t="n">
        <f aca="false">IF(AA$5="A",Inputs_Actuals!AA57,IF(Assumptions!AA$201&lt;Contract_Register!$T$22,0,Z62*(1+Contract_Register!$M$22/2*Assumptions!$F$178)*IF(AND(Assumptions!AA$201&gt;Contract_Register!$T$22,MOD(Assumptions!AA$201-Contract_Register!$T$22,Assumptions!$C$90)=0),Contract_Register!$S$22,1)))</f>
        <v>48.2000585249858</v>
      </c>
      <c r="AB62" s="67" t="n">
        <f aca="false">IF(AB$5="A",Inputs_Actuals!AB57,IF(Assumptions!AB$201&lt;Contract_Register!$T$22,0,AA62*(1+Contract_Register!$M$22/2*Assumptions!$F$178)*IF(AND(Assumptions!AB$201&gt;Contract_Register!$T$22,MOD(Assumptions!AB$201-Contract_Register!$T$22,Assumptions!$C$90)=0),Contract_Register!$S$22,1)))</f>
        <v>48.2241585542483</v>
      </c>
    </row>
    <row r="63" customFormat="false" ht="15" hidden="false" customHeight="false" outlineLevel="0" collapsed="false">
      <c r="A63" s="27" t="s">
        <v>829</v>
      </c>
      <c r="B63" s="63" t="s">
        <v>774</v>
      </c>
      <c r="C63" s="66" t="n">
        <f aca="false">P63</f>
        <v>43.345033376688</v>
      </c>
      <c r="D63" s="66" t="n">
        <f aca="false">AB63</f>
        <v>42.1769922032828</v>
      </c>
      <c r="E63" s="67" t="n">
        <f aca="false">IF(E$5="A",Inputs_Actuals!E58,IF(Assumptions!E$201&lt;Contract_Register!$T$23,0,Contract_Register!$J$23*(1+Contract_Register!$M$23/2*Assumptions!$F$178)*IF(AND(Assumptions!E$201&gt;Contract_Register!$T$23,MOD(Assumptions!E$201-Contract_Register!$T$23,Assumptions!$C$90)=0),Contract_Register!$S$23,1)))</f>
        <v>42</v>
      </c>
      <c r="F63" s="67" t="n">
        <f aca="false">IF(F$5="A",Inputs_Actuals!F58,IF(Assumptions!F$201&lt;Contract_Register!$T$23,0,E63*(1+Contract_Register!$M$23/2*Assumptions!$F$178)*IF(AND(Assumptions!F$201&gt;Contract_Register!$T$23,MOD(Assumptions!F$201-Contract_Register!$T$23,Assumptions!$C$90)=0),Contract_Register!$S$23,1)))</f>
        <v>42</v>
      </c>
      <c r="G63" s="67" t="n">
        <f aca="false">IF(G$5="A",Inputs_Actuals!G58,IF(Assumptions!G$201&lt;Contract_Register!$T$23,0,F63*(1+Contract_Register!$M$23/2*Assumptions!$F$178)*IF(AND(Assumptions!G$201&gt;Contract_Register!$T$23,MOD(Assumptions!G$201-Contract_Register!$T$23,Assumptions!$C$90)=0),Contract_Register!$S$23,1)))</f>
        <v>42</v>
      </c>
      <c r="H63" s="67" t="n">
        <f aca="false">IF(H$5="A",Inputs_Actuals!H58,IF(Assumptions!H$201&lt;Contract_Register!$T$23,0,G63*(1+Contract_Register!$M$23/2*Assumptions!$F$178)*IF(AND(Assumptions!H$201&gt;Contract_Register!$T$23,MOD(Assumptions!H$201-Contract_Register!$T$23,Assumptions!$C$90)=0),Contract_Register!$S$23,1)))</f>
        <v>43</v>
      </c>
      <c r="I63" s="67" t="n">
        <f aca="false">IF(I$5="A",Inputs_Actuals!I58,IF(Assumptions!I$201&lt;Contract_Register!$T$23,0,H63*(1+Contract_Register!$M$23/2*Assumptions!$F$178)*IF(AND(Assumptions!I$201&gt;Contract_Register!$T$23,MOD(Assumptions!I$201-Contract_Register!$T$23,Assumptions!$C$90)=0),Contract_Register!$S$23,1)))</f>
        <v>43</v>
      </c>
      <c r="J63" s="67" t="n">
        <f aca="false">IF(J$5="A",Inputs_Actuals!J58,IF(Assumptions!J$201&lt;Contract_Register!$T$23,0,I63*(1+Contract_Register!$M$23/2*Assumptions!$F$178)*IF(AND(Assumptions!J$201&gt;Contract_Register!$T$23,MOD(Assumptions!J$201-Contract_Register!$T$23,Assumptions!$C$90)=0),Contract_Register!$S$23,1)))</f>
        <v>43</v>
      </c>
      <c r="K63" s="67" t="n">
        <f aca="false">IF(K$5="A",Inputs_Actuals!K58,IF(Assumptions!K$201&lt;Contract_Register!$T$23,0,J63*(1+Contract_Register!$M$23/2*Assumptions!$F$178)*IF(AND(Assumptions!K$201&gt;Contract_Register!$T$23,MOD(Assumptions!K$201-Contract_Register!$T$23,Assumptions!$C$90)=0),Contract_Register!$S$23,1)))</f>
        <v>43</v>
      </c>
      <c r="L63" s="67" t="n">
        <f aca="false">IF(L$5="A",Inputs_Actuals!L58,IF(Assumptions!L$201&lt;Contract_Register!$T$23,0,K63*(1+Contract_Register!$M$23/2*Assumptions!$F$178)*IF(AND(Assumptions!L$201&gt;Contract_Register!$T$23,MOD(Assumptions!L$201-Contract_Register!$T$23,Assumptions!$C$90)=0),Contract_Register!$S$23,1)))</f>
        <v>43</v>
      </c>
      <c r="M63" s="67" t="n">
        <f aca="false">IF(M$5="A",Inputs_Actuals!M58,IF(Assumptions!M$201&lt;Contract_Register!$T$23,0,L63*(1+Contract_Register!$M$23/2*Assumptions!$F$178)*IF(AND(Assumptions!M$201&gt;Contract_Register!$T$23,MOD(Assumptions!M$201-Contract_Register!$T$23,Assumptions!$C$90)=0),Contract_Register!$S$23,1)))</f>
        <v>43.086</v>
      </c>
      <c r="N63" s="67" t="n">
        <f aca="false">IF(N$5="A",Inputs_Actuals!N58,IF(Assumptions!N$201&lt;Contract_Register!$T$23,0,M63*(1+Contract_Register!$M$23/2*Assumptions!$F$178)*IF(AND(Assumptions!N$201&gt;Contract_Register!$T$23,MOD(Assumptions!N$201-Contract_Register!$T$23,Assumptions!$C$90)=0),Contract_Register!$S$23,1)))</f>
        <v>43.172172</v>
      </c>
      <c r="O63" s="67" t="n">
        <f aca="false">IF(O$5="A",Inputs_Actuals!O58,IF(Assumptions!O$201&lt;Contract_Register!$T$23,0,N63*(1+Contract_Register!$M$23/2*Assumptions!$F$178)*IF(AND(Assumptions!O$201&gt;Contract_Register!$T$23,MOD(Assumptions!O$201-Contract_Register!$T$23,Assumptions!$C$90)=0),Contract_Register!$S$23,1)))</f>
        <v>43.258516344</v>
      </c>
      <c r="P63" s="67" t="n">
        <f aca="false">IF(P$5="A",Inputs_Actuals!P58,IF(Assumptions!P$201&lt;Contract_Register!$T$23,0,O63*(1+Contract_Register!$M$23/2*Assumptions!$F$178)*IF(AND(Assumptions!P$201&gt;Contract_Register!$T$23,MOD(Assumptions!P$201-Contract_Register!$T$23,Assumptions!$C$90)=0),Contract_Register!$S$23,1)))</f>
        <v>43.345033376688</v>
      </c>
      <c r="Q63" s="67" t="n">
        <f aca="false">IF(Q$5="A",Inputs_Actuals!Q58,IF(Assumptions!Q$201&lt;Contract_Register!$T$23,0,P63*(1+Contract_Register!$M$23/2*Assumptions!$F$178)*IF(AND(Assumptions!Q$201&gt;Contract_Register!$T$23,MOD(Assumptions!Q$201-Contract_Register!$T$23,Assumptions!$C$90)=0),Contract_Register!$S$23,1)))</f>
        <v>43.4317234434414</v>
      </c>
      <c r="R63" s="67" t="n">
        <f aca="false">IF(R$5="A",Inputs_Actuals!R58,IF(Assumptions!R$201&lt;Contract_Register!$T$23,0,Q63*(1+Contract_Register!$M$23/2*Assumptions!$F$178)*IF(AND(Assumptions!R$201&gt;Contract_Register!$T$23,MOD(Assumptions!R$201-Contract_Register!$T$23,Assumptions!$C$90)=0),Contract_Register!$S$23,1)))</f>
        <v>43.5185868903283</v>
      </c>
      <c r="S63" s="67" t="n">
        <f aca="false">IF(S$5="A",Inputs_Actuals!S58,IF(Assumptions!S$201&lt;Contract_Register!$T$23,0,R63*(1+Contract_Register!$M$23/2*Assumptions!$F$178)*IF(AND(Assumptions!S$201&gt;Contract_Register!$T$23,MOD(Assumptions!S$201-Contract_Register!$T$23,Assumptions!$C$90)=0),Contract_Register!$S$23,1)))</f>
        <v>43.6056240641089</v>
      </c>
      <c r="T63" s="67" t="n">
        <f aca="false">IF(T$5="A",Inputs_Actuals!T58,IF(Assumptions!T$201&lt;Contract_Register!$T$23,0,S63*(1+Contract_Register!$M$23/2*Assumptions!$F$178)*IF(AND(Assumptions!T$201&gt;Contract_Register!$T$23,MOD(Assumptions!T$201-Contract_Register!$T$23,Assumptions!$C$90)=0),Contract_Register!$S$23,1)))</f>
        <v>43.6928353122371</v>
      </c>
      <c r="U63" s="67" t="n">
        <f aca="false">IF(U$5="A",Inputs_Actuals!U58,IF(Assumptions!U$201&lt;Contract_Register!$T$23,0,T63*(1+Contract_Register!$M$23/2*Assumptions!$F$178)*IF(AND(Assumptions!U$201&gt;Contract_Register!$T$23,MOD(Assumptions!U$201-Contract_Register!$T$23,Assumptions!$C$90)=0),Contract_Register!$S$23,1)))</f>
        <v>43.7802209828616</v>
      </c>
      <c r="V63" s="67" t="n">
        <f aca="false">IF(V$5="A",Inputs_Actuals!V58,IF(Assumptions!V$201&lt;Contract_Register!$T$23,0,U63*(1+Contract_Register!$M$23/2*Assumptions!$F$178)*IF(AND(Assumptions!V$201&gt;Contract_Register!$T$23,MOD(Assumptions!V$201-Contract_Register!$T$23,Assumptions!$C$90)=0),Contract_Register!$S$23,1)))</f>
        <v>43.8677814248273</v>
      </c>
      <c r="W63" s="67" t="n">
        <f aca="false">IF(W$5="A",Inputs_Actuals!W58,IF(Assumptions!W$201&lt;Contract_Register!$T$23,0,V63*(1+Contract_Register!$M$23/2*Assumptions!$F$178)*IF(AND(Assumptions!W$201&gt;Contract_Register!$T$23,MOD(Assumptions!W$201-Contract_Register!$T$23,Assumptions!$C$90)=0),Contract_Register!$S$23,1)))</f>
        <v>43.955516987677</v>
      </c>
      <c r="X63" s="67" t="n">
        <f aca="false">IF(X$5="A",Inputs_Actuals!X58,IF(Assumptions!X$201&lt;Contract_Register!$T$23,0,W63*(1+Contract_Register!$M$23/2*Assumptions!$F$178)*IF(AND(Assumptions!X$201&gt;Contract_Register!$T$23,MOD(Assumptions!X$201-Contract_Register!$T$23,Assumptions!$C$90)=0),Contract_Register!$S$23,1)))</f>
        <v>41.8412566205697</v>
      </c>
      <c r="Y63" s="67" t="n">
        <f aca="false">IF(Y$5="A",Inputs_Actuals!Y58,IF(Assumptions!Y$201&lt;Contract_Register!$T$23,0,X63*(1+Contract_Register!$M$23/2*Assumptions!$F$178)*IF(AND(Assumptions!Y$201&gt;Contract_Register!$T$23,MOD(Assumptions!Y$201-Contract_Register!$T$23,Assumptions!$C$90)=0),Contract_Register!$S$23,1)))</f>
        <v>41.9249391338108</v>
      </c>
      <c r="Z63" s="67" t="n">
        <f aca="false">IF(Z$5="A",Inputs_Actuals!Z58,IF(Assumptions!Z$201&lt;Contract_Register!$T$23,0,Y63*(1+Contract_Register!$M$23/2*Assumptions!$F$178)*IF(AND(Assumptions!Z$201&gt;Contract_Register!$T$23,MOD(Assumptions!Z$201-Contract_Register!$T$23,Assumptions!$C$90)=0),Contract_Register!$S$23,1)))</f>
        <v>42.0087890120785</v>
      </c>
      <c r="AA63" s="67" t="n">
        <f aca="false">IF(AA$5="A",Inputs_Actuals!AA58,IF(Assumptions!AA$201&lt;Contract_Register!$T$23,0,Z63*(1+Contract_Register!$M$23/2*Assumptions!$F$178)*IF(AND(Assumptions!AA$201&gt;Contract_Register!$T$23,MOD(Assumptions!AA$201-Contract_Register!$T$23,Assumptions!$C$90)=0),Contract_Register!$S$23,1)))</f>
        <v>42.0928065901026</v>
      </c>
      <c r="AB63" s="67" t="n">
        <f aca="false">IF(AB$5="A",Inputs_Actuals!AB58,IF(Assumptions!AB$201&lt;Contract_Register!$T$23,0,AA63*(1+Contract_Register!$M$23/2*Assumptions!$F$178)*IF(AND(Assumptions!AB$201&gt;Contract_Register!$T$23,MOD(Assumptions!AB$201-Contract_Register!$T$23,Assumptions!$C$90)=0),Contract_Register!$S$23,1)))</f>
        <v>42.1769922032828</v>
      </c>
    </row>
    <row r="64" customFormat="false" ht="15" hidden="false" customHeight="false" outlineLevel="0" collapsed="false">
      <c r="A64" s="27" t="s">
        <v>830</v>
      </c>
      <c r="B64" s="63" t="s">
        <v>774</v>
      </c>
      <c r="C64" s="66" t="n">
        <f aca="false">P64</f>
        <v>10.0601351350506</v>
      </c>
      <c r="D64" s="66" t="n">
        <f aca="false">AB64</f>
        <v>10.2427189924701</v>
      </c>
      <c r="E64" s="67" t="n">
        <f aca="false">IF(E$5="A",Inputs_Actuals!E59,IF(Assumptions!E$201&lt;Contract_Register!$T$24,0,Contract_Register!$J$24*(1+Contract_Register!$M$24/2*Assumptions!$F$178)*IF(AND(Assumptions!E$201&gt;Contract_Register!$T$24,MOD(Assumptions!E$201-Contract_Register!$T$24,Assumptions!$C$90)=0),Contract_Register!$S$24,1)))</f>
        <v>10</v>
      </c>
      <c r="F64" s="67" t="n">
        <f aca="false">IF(F$5="A",Inputs_Actuals!F59,IF(Assumptions!F$201&lt;Contract_Register!$T$24,0,E64*(1+Contract_Register!$M$24/2*Assumptions!$F$178)*IF(AND(Assumptions!F$201&gt;Contract_Register!$T$24,MOD(Assumptions!F$201-Contract_Register!$T$24,Assumptions!$C$90)=0),Contract_Register!$S$24,1)))</f>
        <v>10</v>
      </c>
      <c r="G64" s="67" t="n">
        <f aca="false">IF(G$5="A",Inputs_Actuals!G59,IF(Assumptions!G$201&lt;Contract_Register!$T$24,0,F64*(1+Contract_Register!$M$24/2*Assumptions!$F$178)*IF(AND(Assumptions!G$201&gt;Contract_Register!$T$24,MOD(Assumptions!G$201-Contract_Register!$T$24,Assumptions!$C$90)=0),Contract_Register!$S$24,1)))</f>
        <v>10</v>
      </c>
      <c r="H64" s="67" t="n">
        <f aca="false">IF(H$5="A",Inputs_Actuals!H59,IF(Assumptions!H$201&lt;Contract_Register!$T$24,0,G64*(1+Contract_Register!$M$24/2*Assumptions!$F$178)*IF(AND(Assumptions!H$201&gt;Contract_Register!$T$24,MOD(Assumptions!H$201-Contract_Register!$T$24,Assumptions!$C$90)=0),Contract_Register!$S$24,1)))</f>
        <v>10</v>
      </c>
      <c r="I64" s="67" t="n">
        <f aca="false">IF(I$5="A",Inputs_Actuals!I59,IF(Assumptions!I$201&lt;Contract_Register!$T$24,0,H64*(1+Contract_Register!$M$24/2*Assumptions!$F$178)*IF(AND(Assumptions!I$201&gt;Contract_Register!$T$24,MOD(Assumptions!I$201-Contract_Register!$T$24,Assumptions!$C$90)=0),Contract_Register!$S$24,1)))</f>
        <v>10</v>
      </c>
      <c r="J64" s="67" t="n">
        <f aca="false">IF(J$5="A",Inputs_Actuals!J59,IF(Assumptions!J$201&lt;Contract_Register!$T$24,0,I64*(1+Contract_Register!$M$24/2*Assumptions!$F$178)*IF(AND(Assumptions!J$201&gt;Contract_Register!$T$24,MOD(Assumptions!J$201-Contract_Register!$T$24,Assumptions!$C$90)=0),Contract_Register!$S$24,1)))</f>
        <v>10</v>
      </c>
      <c r="K64" s="67" t="n">
        <f aca="false">IF(K$5="A",Inputs_Actuals!K59,IF(Assumptions!K$201&lt;Contract_Register!$T$24,0,J64*(1+Contract_Register!$M$24/2*Assumptions!$F$178)*IF(AND(Assumptions!K$201&gt;Contract_Register!$T$24,MOD(Assumptions!K$201-Contract_Register!$T$24,Assumptions!$C$90)=0),Contract_Register!$S$24,1)))</f>
        <v>10</v>
      </c>
      <c r="L64" s="67" t="n">
        <f aca="false">IF(L$5="A",Inputs_Actuals!L59,IF(Assumptions!L$201&lt;Contract_Register!$T$24,0,K64*(1+Contract_Register!$M$24/2*Assumptions!$F$178)*IF(AND(Assumptions!L$201&gt;Contract_Register!$T$24,MOD(Assumptions!L$201-Contract_Register!$T$24,Assumptions!$C$90)=0),Contract_Register!$S$24,1)))</f>
        <v>10</v>
      </c>
      <c r="M64" s="67" t="n">
        <f aca="false">IF(M$5="A",Inputs_Actuals!M59,IF(Assumptions!M$201&lt;Contract_Register!$T$24,0,L64*(1+Contract_Register!$M$24/2*Assumptions!$F$178)*IF(AND(Assumptions!M$201&gt;Contract_Register!$T$24,MOD(Assumptions!M$201-Contract_Register!$T$24,Assumptions!$C$90)=0),Contract_Register!$S$24,1)))</f>
        <v>10.015</v>
      </c>
      <c r="N64" s="67" t="n">
        <f aca="false">IF(N$5="A",Inputs_Actuals!N59,IF(Assumptions!N$201&lt;Contract_Register!$T$24,0,M64*(1+Contract_Register!$M$24/2*Assumptions!$F$178)*IF(AND(Assumptions!N$201&gt;Contract_Register!$T$24,MOD(Assumptions!N$201-Contract_Register!$T$24,Assumptions!$C$90)=0),Contract_Register!$S$24,1)))</f>
        <v>10.0300225</v>
      </c>
      <c r="O64" s="67" t="n">
        <f aca="false">IF(O$5="A",Inputs_Actuals!O59,IF(Assumptions!O$201&lt;Contract_Register!$T$24,0,N64*(1+Contract_Register!$M$24/2*Assumptions!$F$178)*IF(AND(Assumptions!O$201&gt;Contract_Register!$T$24,MOD(Assumptions!O$201-Contract_Register!$T$24,Assumptions!$C$90)=0),Contract_Register!$S$24,1)))</f>
        <v>10.04506753375</v>
      </c>
      <c r="P64" s="67" t="n">
        <f aca="false">IF(P$5="A",Inputs_Actuals!P59,IF(Assumptions!P$201&lt;Contract_Register!$T$24,0,O64*(1+Contract_Register!$M$24/2*Assumptions!$F$178)*IF(AND(Assumptions!P$201&gt;Contract_Register!$T$24,MOD(Assumptions!P$201-Contract_Register!$T$24,Assumptions!$C$90)=0),Contract_Register!$S$24,1)))</f>
        <v>10.0601351350506</v>
      </c>
      <c r="Q64" s="67" t="n">
        <f aca="false">IF(Q$5="A",Inputs_Actuals!Q59,IF(Assumptions!Q$201&lt;Contract_Register!$T$24,0,P64*(1+Contract_Register!$M$24/2*Assumptions!$F$178)*IF(AND(Assumptions!Q$201&gt;Contract_Register!$T$24,MOD(Assumptions!Q$201-Contract_Register!$T$24,Assumptions!$C$90)=0),Contract_Register!$S$24,1)))</f>
        <v>10.0752253377532</v>
      </c>
      <c r="R64" s="67" t="n">
        <f aca="false">IF(R$5="A",Inputs_Actuals!R59,IF(Assumptions!R$201&lt;Contract_Register!$T$24,0,Q64*(1+Contract_Register!$M$24/2*Assumptions!$F$178)*IF(AND(Assumptions!R$201&gt;Contract_Register!$T$24,MOD(Assumptions!R$201-Contract_Register!$T$24,Assumptions!$C$90)=0),Contract_Register!$S$24,1)))</f>
        <v>10.0903381757598</v>
      </c>
      <c r="S64" s="67" t="n">
        <f aca="false">IF(S$5="A",Inputs_Actuals!S59,IF(Assumptions!S$201&lt;Contract_Register!$T$24,0,R64*(1+Contract_Register!$M$24/2*Assumptions!$F$178)*IF(AND(Assumptions!S$201&gt;Contract_Register!$T$24,MOD(Assumptions!S$201-Contract_Register!$T$24,Assumptions!$C$90)=0),Contract_Register!$S$24,1)))</f>
        <v>10.1054736830235</v>
      </c>
      <c r="T64" s="67" t="n">
        <f aca="false">IF(T$5="A",Inputs_Actuals!T59,IF(Assumptions!T$201&lt;Contract_Register!$T$24,0,S64*(1+Contract_Register!$M$24/2*Assumptions!$F$178)*IF(AND(Assumptions!T$201&gt;Contract_Register!$T$24,MOD(Assumptions!T$201-Contract_Register!$T$24,Assumptions!$C$90)=0),Contract_Register!$S$24,1)))</f>
        <v>10.120631893548</v>
      </c>
      <c r="U64" s="67" t="n">
        <f aca="false">IF(U$5="A",Inputs_Actuals!U59,IF(Assumptions!U$201&lt;Contract_Register!$T$24,0,T64*(1+Contract_Register!$M$24/2*Assumptions!$F$178)*IF(AND(Assumptions!U$201&gt;Contract_Register!$T$24,MOD(Assumptions!U$201-Contract_Register!$T$24,Assumptions!$C$90)=0),Contract_Register!$S$24,1)))</f>
        <v>10.1358128413883</v>
      </c>
      <c r="V64" s="67" t="n">
        <f aca="false">IF(V$5="A",Inputs_Actuals!V59,IF(Assumptions!V$201&lt;Contract_Register!$T$24,0,U64*(1+Contract_Register!$M$24/2*Assumptions!$F$178)*IF(AND(Assumptions!V$201&gt;Contract_Register!$T$24,MOD(Assumptions!V$201-Contract_Register!$T$24,Assumptions!$C$90)=0),Contract_Register!$S$24,1)))</f>
        <v>10.1510165606504</v>
      </c>
      <c r="W64" s="67" t="n">
        <f aca="false">IF(W$5="A",Inputs_Actuals!W59,IF(Assumptions!W$201&lt;Contract_Register!$T$24,0,V64*(1+Contract_Register!$M$24/2*Assumptions!$F$178)*IF(AND(Assumptions!W$201&gt;Contract_Register!$T$24,MOD(Assumptions!W$201-Contract_Register!$T$24,Assumptions!$C$90)=0),Contract_Register!$S$24,1)))</f>
        <v>10.1662430854914</v>
      </c>
      <c r="X64" s="67" t="n">
        <f aca="false">IF(X$5="A",Inputs_Actuals!X59,IF(Assumptions!X$201&lt;Contract_Register!$T$24,0,W64*(1+Contract_Register!$M$24/2*Assumptions!$F$178)*IF(AND(Assumptions!X$201&gt;Contract_Register!$T$24,MOD(Assumptions!X$201-Contract_Register!$T$24,Assumptions!$C$90)=0),Contract_Register!$S$24,1)))</f>
        <v>10.1814924501196</v>
      </c>
      <c r="Y64" s="67" t="n">
        <f aca="false">IF(Y$5="A",Inputs_Actuals!Y59,IF(Assumptions!Y$201&lt;Contract_Register!$T$24,0,X64*(1+Contract_Register!$M$24/2*Assumptions!$F$178)*IF(AND(Assumptions!Y$201&gt;Contract_Register!$T$24,MOD(Assumptions!Y$201-Contract_Register!$T$24,Assumptions!$C$90)=0),Contract_Register!$S$24,1)))</f>
        <v>10.1967646887948</v>
      </c>
      <c r="Z64" s="67" t="n">
        <f aca="false">IF(Z$5="A",Inputs_Actuals!Z59,IF(Assumptions!Z$201&lt;Contract_Register!$T$24,0,Y64*(1+Contract_Register!$M$24/2*Assumptions!$F$178)*IF(AND(Assumptions!Z$201&gt;Contract_Register!$T$24,MOD(Assumptions!Z$201-Contract_Register!$T$24,Assumptions!$C$90)=0),Contract_Register!$S$24,1)))</f>
        <v>10.212059835828</v>
      </c>
      <c r="AA64" s="67" t="n">
        <f aca="false">IF(AA$5="A",Inputs_Actuals!AA59,IF(Assumptions!AA$201&lt;Contract_Register!$T$24,0,Z64*(1+Contract_Register!$M$24/2*Assumptions!$F$178)*IF(AND(Assumptions!AA$201&gt;Contract_Register!$T$24,MOD(Assumptions!AA$201-Contract_Register!$T$24,Assumptions!$C$90)=0),Contract_Register!$S$24,1)))</f>
        <v>10.2273779255817</v>
      </c>
      <c r="AB64" s="67" t="n">
        <f aca="false">IF(AB$5="A",Inputs_Actuals!AB59,IF(Assumptions!AB$201&lt;Contract_Register!$T$24,0,AA64*(1+Contract_Register!$M$24/2*Assumptions!$F$178)*IF(AND(Assumptions!AB$201&gt;Contract_Register!$T$24,MOD(Assumptions!AB$201-Contract_Register!$T$24,Assumptions!$C$90)=0),Contract_Register!$S$24,1)))</f>
        <v>10.2427189924701</v>
      </c>
    </row>
    <row r="65" customFormat="false" ht="15" hidden="false" customHeight="false" outlineLevel="0" collapsed="false">
      <c r="A65" s="27" t="s">
        <v>831</v>
      </c>
      <c r="B65" s="63" t="s">
        <v>774</v>
      </c>
      <c r="C65" s="66" t="n">
        <f aca="false">P65</f>
        <v>38.152228152038</v>
      </c>
      <c r="D65" s="66" t="n">
        <f aca="false">AB65</f>
        <v>38.6125813493262</v>
      </c>
      <c r="E65" s="67" t="n">
        <f aca="false">IF(E$5="A",Inputs_Actuals!E60,IF(Assumptions!E$201&lt;Contract_Register!$T$25,0,Contract_Register!$J$25*(1+Contract_Register!$M$25/2*Assumptions!$F$178)*IF(AND(Assumptions!E$201&gt;Contract_Register!$T$25,MOD(Assumptions!E$201-Contract_Register!$T$25,Assumptions!$C$90)=0),Contract_Register!$S$25,1)))</f>
        <v>38</v>
      </c>
      <c r="F65" s="67" t="n">
        <f aca="false">IF(F$5="A",Inputs_Actuals!F60,IF(Assumptions!F$201&lt;Contract_Register!$T$25,0,E65*(1+Contract_Register!$M$25/2*Assumptions!$F$178)*IF(AND(Assumptions!F$201&gt;Contract_Register!$T$25,MOD(Assumptions!F$201-Contract_Register!$T$25,Assumptions!$C$90)=0),Contract_Register!$S$25,1)))</f>
        <v>38</v>
      </c>
      <c r="G65" s="67" t="n">
        <f aca="false">IF(G$5="A",Inputs_Actuals!G60,IF(Assumptions!G$201&lt;Contract_Register!$T$25,0,F65*(1+Contract_Register!$M$25/2*Assumptions!$F$178)*IF(AND(Assumptions!G$201&gt;Contract_Register!$T$25,MOD(Assumptions!G$201-Contract_Register!$T$25,Assumptions!$C$90)=0),Contract_Register!$S$25,1)))</f>
        <v>38</v>
      </c>
      <c r="H65" s="67" t="n">
        <f aca="false">IF(H$5="A",Inputs_Actuals!H60,IF(Assumptions!H$201&lt;Contract_Register!$T$25,0,G65*(1+Contract_Register!$M$25/2*Assumptions!$F$178)*IF(AND(Assumptions!H$201&gt;Contract_Register!$T$25,MOD(Assumptions!H$201-Contract_Register!$T$25,Assumptions!$C$90)=0),Contract_Register!$S$25,1)))</f>
        <v>38</v>
      </c>
      <c r="I65" s="67" t="n">
        <f aca="false">IF(I$5="A",Inputs_Actuals!I60,IF(Assumptions!I$201&lt;Contract_Register!$T$25,0,H65*(1+Contract_Register!$M$25/2*Assumptions!$F$178)*IF(AND(Assumptions!I$201&gt;Contract_Register!$T$25,MOD(Assumptions!I$201-Contract_Register!$T$25,Assumptions!$C$90)=0),Contract_Register!$S$25,1)))</f>
        <v>38</v>
      </c>
      <c r="J65" s="67" t="n">
        <f aca="false">IF(J$5="A",Inputs_Actuals!J60,IF(Assumptions!J$201&lt;Contract_Register!$T$25,0,I65*(1+Contract_Register!$M$25/2*Assumptions!$F$178)*IF(AND(Assumptions!J$201&gt;Contract_Register!$T$25,MOD(Assumptions!J$201-Contract_Register!$T$25,Assumptions!$C$90)=0),Contract_Register!$S$25,1)))</f>
        <v>38</v>
      </c>
      <c r="K65" s="67" t="n">
        <f aca="false">IF(K$5="A",Inputs_Actuals!K60,IF(Assumptions!K$201&lt;Contract_Register!$T$25,0,J65*(1+Contract_Register!$M$25/2*Assumptions!$F$178)*IF(AND(Assumptions!K$201&gt;Contract_Register!$T$25,MOD(Assumptions!K$201-Contract_Register!$T$25,Assumptions!$C$90)=0),Contract_Register!$S$25,1)))</f>
        <v>38</v>
      </c>
      <c r="L65" s="67" t="n">
        <f aca="false">IF(L$5="A",Inputs_Actuals!L60,IF(Assumptions!L$201&lt;Contract_Register!$T$25,0,K65*(1+Contract_Register!$M$25/2*Assumptions!$F$178)*IF(AND(Assumptions!L$201&gt;Contract_Register!$T$25,MOD(Assumptions!L$201-Contract_Register!$T$25,Assumptions!$C$90)=0),Contract_Register!$S$25,1)))</f>
        <v>38</v>
      </c>
      <c r="M65" s="67" t="n">
        <f aca="false">IF(M$5="A",Inputs_Actuals!M60,IF(Assumptions!M$201&lt;Contract_Register!$T$25,0,L65*(1+Contract_Register!$M$25/2*Assumptions!$F$178)*IF(AND(Assumptions!M$201&gt;Contract_Register!$T$25,MOD(Assumptions!M$201-Contract_Register!$T$25,Assumptions!$C$90)=0),Contract_Register!$S$25,1)))</f>
        <v>38.038</v>
      </c>
      <c r="N65" s="67" t="n">
        <f aca="false">IF(N$5="A",Inputs_Actuals!N60,IF(Assumptions!N$201&lt;Contract_Register!$T$25,0,M65*(1+Contract_Register!$M$25/2*Assumptions!$F$178)*IF(AND(Assumptions!N$201&gt;Contract_Register!$T$25,MOD(Assumptions!N$201-Contract_Register!$T$25,Assumptions!$C$90)=0),Contract_Register!$S$25,1)))</f>
        <v>38.076038</v>
      </c>
      <c r="O65" s="67" t="n">
        <f aca="false">IF(O$5="A",Inputs_Actuals!O60,IF(Assumptions!O$201&lt;Contract_Register!$T$25,0,N65*(1+Contract_Register!$M$25/2*Assumptions!$F$178)*IF(AND(Assumptions!O$201&gt;Contract_Register!$T$25,MOD(Assumptions!O$201-Contract_Register!$T$25,Assumptions!$C$90)=0),Contract_Register!$S$25,1)))</f>
        <v>38.114114038</v>
      </c>
      <c r="P65" s="67" t="n">
        <f aca="false">IF(P$5="A",Inputs_Actuals!P60,IF(Assumptions!P$201&lt;Contract_Register!$T$25,0,O65*(1+Contract_Register!$M$25/2*Assumptions!$F$178)*IF(AND(Assumptions!P$201&gt;Contract_Register!$T$25,MOD(Assumptions!P$201-Contract_Register!$T$25,Assumptions!$C$90)=0),Contract_Register!$S$25,1)))</f>
        <v>38.152228152038</v>
      </c>
      <c r="Q65" s="67" t="n">
        <f aca="false">IF(Q$5="A",Inputs_Actuals!Q60,IF(Assumptions!Q$201&lt;Contract_Register!$T$25,0,P65*(1+Contract_Register!$M$25/2*Assumptions!$F$178)*IF(AND(Assumptions!Q$201&gt;Contract_Register!$T$25,MOD(Assumptions!Q$201-Contract_Register!$T$25,Assumptions!$C$90)=0),Contract_Register!$S$25,1)))</f>
        <v>38.19038038019</v>
      </c>
      <c r="R65" s="67" t="n">
        <f aca="false">IF(R$5="A",Inputs_Actuals!R60,IF(Assumptions!R$201&lt;Contract_Register!$T$25,0,Q65*(1+Contract_Register!$M$25/2*Assumptions!$F$178)*IF(AND(Assumptions!R$201&gt;Contract_Register!$T$25,MOD(Assumptions!R$201-Contract_Register!$T$25,Assumptions!$C$90)=0),Contract_Register!$S$25,1)))</f>
        <v>38.2285707605702</v>
      </c>
      <c r="S65" s="67" t="n">
        <f aca="false">IF(S$5="A",Inputs_Actuals!S60,IF(Assumptions!S$201&lt;Contract_Register!$T$25,0,R65*(1+Contract_Register!$M$25/2*Assumptions!$F$178)*IF(AND(Assumptions!S$201&gt;Contract_Register!$T$25,MOD(Assumptions!S$201-Contract_Register!$T$25,Assumptions!$C$90)=0),Contract_Register!$S$25,1)))</f>
        <v>38.2667993313308</v>
      </c>
      <c r="T65" s="67" t="n">
        <f aca="false">IF(T$5="A",Inputs_Actuals!T60,IF(Assumptions!T$201&lt;Contract_Register!$T$25,0,S65*(1+Contract_Register!$M$25/2*Assumptions!$F$178)*IF(AND(Assumptions!T$201&gt;Contract_Register!$T$25,MOD(Assumptions!T$201-Contract_Register!$T$25,Assumptions!$C$90)=0),Contract_Register!$S$25,1)))</f>
        <v>38.3050661306621</v>
      </c>
      <c r="U65" s="67" t="n">
        <f aca="false">IF(U$5="A",Inputs_Actuals!U60,IF(Assumptions!U$201&lt;Contract_Register!$T$25,0,T65*(1+Contract_Register!$M$25/2*Assumptions!$F$178)*IF(AND(Assumptions!U$201&gt;Contract_Register!$T$25,MOD(Assumptions!U$201-Contract_Register!$T$25,Assumptions!$C$90)=0),Contract_Register!$S$25,1)))</f>
        <v>38.3433711967928</v>
      </c>
      <c r="V65" s="67" t="n">
        <f aca="false">IF(V$5="A",Inputs_Actuals!V60,IF(Assumptions!V$201&lt;Contract_Register!$T$25,0,U65*(1+Contract_Register!$M$25/2*Assumptions!$F$178)*IF(AND(Assumptions!V$201&gt;Contract_Register!$T$25,MOD(Assumptions!V$201-Contract_Register!$T$25,Assumptions!$C$90)=0),Contract_Register!$S$25,1)))</f>
        <v>38.3817145679895</v>
      </c>
      <c r="W65" s="67" t="n">
        <f aca="false">IF(W$5="A",Inputs_Actuals!W60,IF(Assumptions!W$201&lt;Contract_Register!$T$25,0,V65*(1+Contract_Register!$M$25/2*Assumptions!$F$178)*IF(AND(Assumptions!W$201&gt;Contract_Register!$T$25,MOD(Assumptions!W$201-Contract_Register!$T$25,Assumptions!$C$90)=0),Contract_Register!$S$25,1)))</f>
        <v>38.4200962825575</v>
      </c>
      <c r="X65" s="67" t="n">
        <f aca="false">IF(X$5="A",Inputs_Actuals!X60,IF(Assumptions!X$201&lt;Contract_Register!$T$25,0,W65*(1+Contract_Register!$M$25/2*Assumptions!$F$178)*IF(AND(Assumptions!X$201&gt;Contract_Register!$T$25,MOD(Assumptions!X$201-Contract_Register!$T$25,Assumptions!$C$90)=0),Contract_Register!$S$25,1)))</f>
        <v>38.4585163788401</v>
      </c>
      <c r="Y65" s="67" t="n">
        <f aca="false">IF(Y$5="A",Inputs_Actuals!Y60,IF(Assumptions!Y$201&lt;Contract_Register!$T$25,0,X65*(1+Contract_Register!$M$25/2*Assumptions!$F$178)*IF(AND(Assumptions!Y$201&gt;Contract_Register!$T$25,MOD(Assumptions!Y$201-Contract_Register!$T$25,Assumptions!$C$90)=0),Contract_Register!$S$25,1)))</f>
        <v>38.4969748952189</v>
      </c>
      <c r="Z65" s="67" t="n">
        <f aca="false">IF(Z$5="A",Inputs_Actuals!Z60,IF(Assumptions!Z$201&lt;Contract_Register!$T$25,0,Y65*(1+Contract_Register!$M$25/2*Assumptions!$F$178)*IF(AND(Assumptions!Z$201&gt;Contract_Register!$T$25,MOD(Assumptions!Z$201-Contract_Register!$T$25,Assumptions!$C$90)=0),Contract_Register!$S$25,1)))</f>
        <v>38.5354718701141</v>
      </c>
      <c r="AA65" s="67" t="n">
        <f aca="false">IF(AA$5="A",Inputs_Actuals!AA60,IF(Assumptions!AA$201&lt;Contract_Register!$T$25,0,Z65*(1+Contract_Register!$M$25/2*Assumptions!$F$178)*IF(AND(Assumptions!AA$201&gt;Contract_Register!$T$25,MOD(Assumptions!AA$201-Contract_Register!$T$25,Assumptions!$C$90)=0),Contract_Register!$S$25,1)))</f>
        <v>38.5740073419842</v>
      </c>
      <c r="AB65" s="67" t="n">
        <f aca="false">IF(AB$5="A",Inputs_Actuals!AB60,IF(Assumptions!AB$201&lt;Contract_Register!$T$25,0,AA65*(1+Contract_Register!$M$25/2*Assumptions!$F$178)*IF(AND(Assumptions!AB$201&gt;Contract_Register!$T$25,MOD(Assumptions!AB$201-Contract_Register!$T$25,Assumptions!$C$90)=0),Contract_Register!$S$25,1)))</f>
        <v>38.6125813493262</v>
      </c>
    </row>
    <row r="66" customFormat="false" ht="15" hidden="false" customHeight="false" outlineLevel="0" collapsed="false">
      <c r="A66" s="27" t="s">
        <v>832</v>
      </c>
      <c r="B66" s="63" t="s">
        <v>774</v>
      </c>
      <c r="C66" s="66" t="n">
        <f aca="false">P66</f>
        <v>40.16024016004</v>
      </c>
      <c r="D66" s="66" t="n">
        <f aca="false">AB66</f>
        <v>37.7996848998667</v>
      </c>
      <c r="E66" s="67" t="n">
        <f aca="false">IF(E$5="A",Inputs_Actuals!E61,IF(Assumptions!E$201&lt;Contract_Register!$T$26,0,Contract_Register!$J$26*(1+Contract_Register!$M$26/2*Assumptions!$F$178)*IF(AND(Assumptions!E$201&gt;Contract_Register!$T$26,MOD(Assumptions!E$201-Contract_Register!$T$26,Assumptions!$C$90)=0),Contract_Register!$S$26,1)))</f>
        <v>40</v>
      </c>
      <c r="F66" s="67" t="n">
        <f aca="false">IF(F$5="A",Inputs_Actuals!F61,IF(Assumptions!F$201&lt;Contract_Register!$T$26,0,E66*(1+Contract_Register!$M$26/2*Assumptions!$F$178)*IF(AND(Assumptions!F$201&gt;Contract_Register!$T$26,MOD(Assumptions!F$201-Contract_Register!$T$26,Assumptions!$C$90)=0),Contract_Register!$S$26,1)))</f>
        <v>40</v>
      </c>
      <c r="G66" s="67" t="n">
        <f aca="false">IF(G$5="A",Inputs_Actuals!G61,IF(Assumptions!G$201&lt;Contract_Register!$T$26,0,F66*(1+Contract_Register!$M$26/2*Assumptions!$F$178)*IF(AND(Assumptions!G$201&gt;Contract_Register!$T$26,MOD(Assumptions!G$201-Contract_Register!$T$26,Assumptions!$C$90)=0),Contract_Register!$S$26,1)))</f>
        <v>40</v>
      </c>
      <c r="H66" s="67" t="n">
        <f aca="false">IF(H$5="A",Inputs_Actuals!H61,IF(Assumptions!H$201&lt;Contract_Register!$T$26,0,G66*(1+Contract_Register!$M$26/2*Assumptions!$F$178)*IF(AND(Assumptions!H$201&gt;Contract_Register!$T$26,MOD(Assumptions!H$201-Contract_Register!$T$26,Assumptions!$C$90)=0),Contract_Register!$S$26,1)))</f>
        <v>40</v>
      </c>
      <c r="I66" s="67" t="n">
        <f aca="false">IF(I$5="A",Inputs_Actuals!I61,IF(Assumptions!I$201&lt;Contract_Register!$T$26,0,H66*(1+Contract_Register!$M$26/2*Assumptions!$F$178)*IF(AND(Assumptions!I$201&gt;Contract_Register!$T$26,MOD(Assumptions!I$201-Contract_Register!$T$26,Assumptions!$C$90)=0),Contract_Register!$S$26,1)))</f>
        <v>40</v>
      </c>
      <c r="J66" s="67" t="n">
        <f aca="false">IF(J$5="A",Inputs_Actuals!J61,IF(Assumptions!J$201&lt;Contract_Register!$T$26,0,I66*(1+Contract_Register!$M$26/2*Assumptions!$F$178)*IF(AND(Assumptions!J$201&gt;Contract_Register!$T$26,MOD(Assumptions!J$201-Contract_Register!$T$26,Assumptions!$C$90)=0),Contract_Register!$S$26,1)))</f>
        <v>40</v>
      </c>
      <c r="K66" s="67" t="n">
        <f aca="false">IF(K$5="A",Inputs_Actuals!K61,IF(Assumptions!K$201&lt;Contract_Register!$T$26,0,J66*(1+Contract_Register!$M$26/2*Assumptions!$F$178)*IF(AND(Assumptions!K$201&gt;Contract_Register!$T$26,MOD(Assumptions!K$201-Contract_Register!$T$26,Assumptions!$C$90)=0),Contract_Register!$S$26,1)))</f>
        <v>40</v>
      </c>
      <c r="L66" s="67" t="n">
        <f aca="false">IF(L$5="A",Inputs_Actuals!L61,IF(Assumptions!L$201&lt;Contract_Register!$T$26,0,K66*(1+Contract_Register!$M$26/2*Assumptions!$F$178)*IF(AND(Assumptions!L$201&gt;Contract_Register!$T$26,MOD(Assumptions!L$201-Contract_Register!$T$26,Assumptions!$C$90)=0),Contract_Register!$S$26,1)))</f>
        <v>40</v>
      </c>
      <c r="M66" s="67" t="n">
        <f aca="false">IF(M$5="A",Inputs_Actuals!M61,IF(Assumptions!M$201&lt;Contract_Register!$T$26,0,L66*(1+Contract_Register!$M$26/2*Assumptions!$F$178)*IF(AND(Assumptions!M$201&gt;Contract_Register!$T$26,MOD(Assumptions!M$201-Contract_Register!$T$26,Assumptions!$C$90)=0),Contract_Register!$S$26,1)))</f>
        <v>40.04</v>
      </c>
      <c r="N66" s="67" t="n">
        <f aca="false">IF(N$5="A",Inputs_Actuals!N61,IF(Assumptions!N$201&lt;Contract_Register!$T$26,0,M66*(1+Contract_Register!$M$26/2*Assumptions!$F$178)*IF(AND(Assumptions!N$201&gt;Contract_Register!$T$26,MOD(Assumptions!N$201-Contract_Register!$T$26,Assumptions!$C$90)=0),Contract_Register!$S$26,1)))</f>
        <v>40.08004</v>
      </c>
      <c r="O66" s="67" t="n">
        <f aca="false">IF(O$5="A",Inputs_Actuals!O61,IF(Assumptions!O$201&lt;Contract_Register!$T$26,0,N66*(1+Contract_Register!$M$26/2*Assumptions!$F$178)*IF(AND(Assumptions!O$201&gt;Contract_Register!$T$26,MOD(Assumptions!O$201-Contract_Register!$T$26,Assumptions!$C$90)=0),Contract_Register!$S$26,1)))</f>
        <v>40.12012004</v>
      </c>
      <c r="P66" s="67" t="n">
        <f aca="false">IF(P$5="A",Inputs_Actuals!P61,IF(Assumptions!P$201&lt;Contract_Register!$T$26,0,O66*(1+Contract_Register!$M$26/2*Assumptions!$F$178)*IF(AND(Assumptions!P$201&gt;Contract_Register!$T$26,MOD(Assumptions!P$201-Contract_Register!$T$26,Assumptions!$C$90)=0),Contract_Register!$S$26,1)))</f>
        <v>40.16024016004</v>
      </c>
      <c r="Q66" s="67" t="n">
        <f aca="false">IF(Q$5="A",Inputs_Actuals!Q61,IF(Assumptions!Q$201&lt;Contract_Register!$T$26,0,P66*(1+Contract_Register!$M$26/2*Assumptions!$F$178)*IF(AND(Assumptions!Q$201&gt;Contract_Register!$T$26,MOD(Assumptions!Q$201-Contract_Register!$T$26,Assumptions!$C$90)=0),Contract_Register!$S$26,1)))</f>
        <v>37.386372372186</v>
      </c>
      <c r="R66" s="67" t="n">
        <f aca="false">IF(R$5="A",Inputs_Actuals!R61,IF(Assumptions!R$201&lt;Contract_Register!$T$26,0,Q66*(1+Contract_Register!$M$26/2*Assumptions!$F$178)*IF(AND(Assumptions!R$201&gt;Contract_Register!$T$26,MOD(Assumptions!R$201-Contract_Register!$T$26,Assumptions!$C$90)=0),Contract_Register!$S$26,1)))</f>
        <v>37.4237587445582</v>
      </c>
      <c r="S66" s="67" t="n">
        <f aca="false">IF(S$5="A",Inputs_Actuals!S61,IF(Assumptions!S$201&lt;Contract_Register!$T$26,0,R66*(1+Contract_Register!$M$26/2*Assumptions!$F$178)*IF(AND(Assumptions!S$201&gt;Contract_Register!$T$26,MOD(Assumptions!S$201-Contract_Register!$T$26,Assumptions!$C$90)=0),Contract_Register!$S$26,1)))</f>
        <v>37.4611825033027</v>
      </c>
      <c r="T66" s="67" t="n">
        <f aca="false">IF(T$5="A",Inputs_Actuals!T61,IF(Assumptions!T$201&lt;Contract_Register!$T$26,0,S66*(1+Contract_Register!$M$26/2*Assumptions!$F$178)*IF(AND(Assumptions!T$201&gt;Contract_Register!$T$26,MOD(Assumptions!T$201-Contract_Register!$T$26,Assumptions!$C$90)=0),Contract_Register!$S$26,1)))</f>
        <v>37.498643685806</v>
      </c>
      <c r="U66" s="67" t="n">
        <f aca="false">IF(U$5="A",Inputs_Actuals!U61,IF(Assumptions!U$201&lt;Contract_Register!$T$26,0,T66*(1+Contract_Register!$M$26/2*Assumptions!$F$178)*IF(AND(Assumptions!U$201&gt;Contract_Register!$T$26,MOD(Assumptions!U$201-Contract_Register!$T$26,Assumptions!$C$90)=0),Contract_Register!$S$26,1)))</f>
        <v>37.5361423294918</v>
      </c>
      <c r="V66" s="67" t="n">
        <f aca="false">IF(V$5="A",Inputs_Actuals!V61,IF(Assumptions!V$201&lt;Contract_Register!$T$26,0,U66*(1+Contract_Register!$M$26/2*Assumptions!$F$178)*IF(AND(Assumptions!V$201&gt;Contract_Register!$T$26,MOD(Assumptions!V$201-Contract_Register!$T$26,Assumptions!$C$90)=0),Contract_Register!$S$26,1)))</f>
        <v>37.5736784718213</v>
      </c>
      <c r="W66" s="67" t="n">
        <f aca="false">IF(W$5="A",Inputs_Actuals!W61,IF(Assumptions!W$201&lt;Contract_Register!$T$26,0,V66*(1+Contract_Register!$M$26/2*Assumptions!$F$178)*IF(AND(Assumptions!W$201&gt;Contract_Register!$T$26,MOD(Assumptions!W$201-Contract_Register!$T$26,Assumptions!$C$90)=0),Contract_Register!$S$26,1)))</f>
        <v>37.6112521502932</v>
      </c>
      <c r="X66" s="67" t="n">
        <f aca="false">IF(X$5="A",Inputs_Actuals!X61,IF(Assumptions!X$201&lt;Contract_Register!$T$26,0,W66*(1+Contract_Register!$M$26/2*Assumptions!$F$178)*IF(AND(Assumptions!X$201&gt;Contract_Register!$T$26,MOD(Assumptions!X$201-Contract_Register!$T$26,Assumptions!$C$90)=0),Contract_Register!$S$26,1)))</f>
        <v>37.6488634024434</v>
      </c>
      <c r="Y66" s="67" t="n">
        <f aca="false">IF(Y$5="A",Inputs_Actuals!Y61,IF(Assumptions!Y$201&lt;Contract_Register!$T$26,0,X66*(1+Contract_Register!$M$26/2*Assumptions!$F$178)*IF(AND(Assumptions!Y$201&gt;Contract_Register!$T$26,MOD(Assumptions!Y$201-Contract_Register!$T$26,Assumptions!$C$90)=0),Contract_Register!$S$26,1)))</f>
        <v>37.6865122658459</v>
      </c>
      <c r="Z66" s="67" t="n">
        <f aca="false">IF(Z$5="A",Inputs_Actuals!Z61,IF(Assumptions!Z$201&lt;Contract_Register!$T$26,0,Y66*(1+Contract_Register!$M$26/2*Assumptions!$F$178)*IF(AND(Assumptions!Z$201&gt;Contract_Register!$T$26,MOD(Assumptions!Z$201-Contract_Register!$T$26,Assumptions!$C$90)=0),Contract_Register!$S$26,1)))</f>
        <v>37.7241987781117</v>
      </c>
      <c r="AA66" s="67" t="n">
        <f aca="false">IF(AA$5="A",Inputs_Actuals!AA61,IF(Assumptions!AA$201&lt;Contract_Register!$T$26,0,Z66*(1+Contract_Register!$M$26/2*Assumptions!$F$178)*IF(AND(Assumptions!AA$201&gt;Contract_Register!$T$26,MOD(Assumptions!AA$201-Contract_Register!$T$26,Assumptions!$C$90)=0),Contract_Register!$S$26,1)))</f>
        <v>37.7619229768898</v>
      </c>
      <c r="AB66" s="67" t="n">
        <f aca="false">IF(AB$5="A",Inputs_Actuals!AB61,IF(Assumptions!AB$201&lt;Contract_Register!$T$26,0,AA66*(1+Contract_Register!$M$26/2*Assumptions!$F$178)*IF(AND(Assumptions!AB$201&gt;Contract_Register!$T$26,MOD(Assumptions!AB$201-Contract_Register!$T$26,Assumptions!$C$90)=0),Contract_Register!$S$26,1)))</f>
        <v>37.7996848998667</v>
      </c>
    </row>
    <row r="67" customFormat="false" ht="15" hidden="false" customHeight="false" outlineLevel="0" collapsed="false">
      <c r="A67" s="27" t="s">
        <v>833</v>
      </c>
      <c r="B67" s="63" t="s">
        <v>774</v>
      </c>
      <c r="C67" s="66" t="n">
        <f aca="false">P67</f>
        <v>24</v>
      </c>
      <c r="D67" s="66" t="n">
        <f aca="false">AB67</f>
        <v>24</v>
      </c>
      <c r="E67" s="67" t="n">
        <f aca="false">IF(E$5="A",Inputs_Actuals!E62,IF(Assumptions!E$201&lt;Contract_Register!$T$27,0,Contract_Register!$J$27*(1+Contract_Register!$M$27/2*Assumptions!$F$178)*IF(AND(Assumptions!E$201&gt;Contract_Register!$T$27,MOD(Assumptions!E$201-Contract_Register!$T$27,Assumptions!$C$90)=0),Contract_Register!$S$27,1)))</f>
        <v>24</v>
      </c>
      <c r="F67" s="67" t="n">
        <f aca="false">IF(F$5="A",Inputs_Actuals!F62,IF(Assumptions!F$201&lt;Contract_Register!$T$27,0,E67*(1+Contract_Register!$M$27/2*Assumptions!$F$178)*IF(AND(Assumptions!F$201&gt;Contract_Register!$T$27,MOD(Assumptions!F$201-Contract_Register!$T$27,Assumptions!$C$90)=0),Contract_Register!$S$27,1)))</f>
        <v>24</v>
      </c>
      <c r="G67" s="67" t="n">
        <f aca="false">IF(G$5="A",Inputs_Actuals!G62,IF(Assumptions!G$201&lt;Contract_Register!$T$27,0,F67*(1+Contract_Register!$M$27/2*Assumptions!$F$178)*IF(AND(Assumptions!G$201&gt;Contract_Register!$T$27,MOD(Assumptions!G$201-Contract_Register!$T$27,Assumptions!$C$90)=0),Contract_Register!$S$27,1)))</f>
        <v>24</v>
      </c>
      <c r="H67" s="67" t="n">
        <f aca="false">IF(H$5="A",Inputs_Actuals!H62,IF(Assumptions!H$201&lt;Contract_Register!$T$27,0,G67*(1+Contract_Register!$M$27/2*Assumptions!$F$178)*IF(AND(Assumptions!H$201&gt;Contract_Register!$T$27,MOD(Assumptions!H$201-Contract_Register!$T$27,Assumptions!$C$90)=0),Contract_Register!$S$27,1)))</f>
        <v>24</v>
      </c>
      <c r="I67" s="67" t="n">
        <f aca="false">IF(I$5="A",Inputs_Actuals!I62,IF(Assumptions!I$201&lt;Contract_Register!$T$27,0,H67*(1+Contract_Register!$M$27/2*Assumptions!$F$178)*IF(AND(Assumptions!I$201&gt;Contract_Register!$T$27,MOD(Assumptions!I$201-Contract_Register!$T$27,Assumptions!$C$90)=0),Contract_Register!$S$27,1)))</f>
        <v>24</v>
      </c>
      <c r="J67" s="67" t="n">
        <f aca="false">IF(J$5="A",Inputs_Actuals!J62,IF(Assumptions!J$201&lt;Contract_Register!$T$27,0,I67*(1+Contract_Register!$M$27/2*Assumptions!$F$178)*IF(AND(Assumptions!J$201&gt;Contract_Register!$T$27,MOD(Assumptions!J$201-Contract_Register!$T$27,Assumptions!$C$90)=0),Contract_Register!$S$27,1)))</f>
        <v>24</v>
      </c>
      <c r="K67" s="67" t="n">
        <f aca="false">IF(K$5="A",Inputs_Actuals!K62,IF(Assumptions!K$201&lt;Contract_Register!$T$27,0,J67*(1+Contract_Register!$M$27/2*Assumptions!$F$178)*IF(AND(Assumptions!K$201&gt;Contract_Register!$T$27,MOD(Assumptions!K$201-Contract_Register!$T$27,Assumptions!$C$90)=0),Contract_Register!$S$27,1)))</f>
        <v>24</v>
      </c>
      <c r="L67" s="67" t="n">
        <f aca="false">IF(L$5="A",Inputs_Actuals!L62,IF(Assumptions!L$201&lt;Contract_Register!$T$27,0,K67*(1+Contract_Register!$M$27/2*Assumptions!$F$178)*IF(AND(Assumptions!L$201&gt;Contract_Register!$T$27,MOD(Assumptions!L$201-Contract_Register!$T$27,Assumptions!$C$90)=0),Contract_Register!$S$27,1)))</f>
        <v>24</v>
      </c>
      <c r="M67" s="67" t="n">
        <f aca="false">IF(M$5="A",Inputs_Actuals!M62,IF(Assumptions!M$201&lt;Contract_Register!$T$27,0,L67*(1+Contract_Register!$M$27/2*Assumptions!$F$178)*IF(AND(Assumptions!M$201&gt;Contract_Register!$T$27,MOD(Assumptions!M$201-Contract_Register!$T$27,Assumptions!$C$90)=0),Contract_Register!$S$27,1)))</f>
        <v>24</v>
      </c>
      <c r="N67" s="67" t="n">
        <f aca="false">IF(N$5="A",Inputs_Actuals!N62,IF(Assumptions!N$201&lt;Contract_Register!$T$27,0,M67*(1+Contract_Register!$M$27/2*Assumptions!$F$178)*IF(AND(Assumptions!N$201&gt;Contract_Register!$T$27,MOD(Assumptions!N$201-Contract_Register!$T$27,Assumptions!$C$90)=0),Contract_Register!$S$27,1)))</f>
        <v>24</v>
      </c>
      <c r="O67" s="67" t="n">
        <f aca="false">IF(O$5="A",Inputs_Actuals!O62,IF(Assumptions!O$201&lt;Contract_Register!$T$27,0,N67*(1+Contract_Register!$M$27/2*Assumptions!$F$178)*IF(AND(Assumptions!O$201&gt;Contract_Register!$T$27,MOD(Assumptions!O$201-Contract_Register!$T$27,Assumptions!$C$90)=0),Contract_Register!$S$27,1)))</f>
        <v>24</v>
      </c>
      <c r="P67" s="67" t="n">
        <f aca="false">IF(P$5="A",Inputs_Actuals!P62,IF(Assumptions!P$201&lt;Contract_Register!$T$27,0,O67*(1+Contract_Register!$M$27/2*Assumptions!$F$178)*IF(AND(Assumptions!P$201&gt;Contract_Register!$T$27,MOD(Assumptions!P$201-Contract_Register!$T$27,Assumptions!$C$90)=0),Contract_Register!$S$27,1)))</f>
        <v>24</v>
      </c>
      <c r="Q67" s="67" t="n">
        <f aca="false">IF(Q$5="A",Inputs_Actuals!Q62,IF(Assumptions!Q$201&lt;Contract_Register!$T$27,0,P67*(1+Contract_Register!$M$27/2*Assumptions!$F$178)*IF(AND(Assumptions!Q$201&gt;Contract_Register!$T$27,MOD(Assumptions!Q$201-Contract_Register!$T$27,Assumptions!$C$90)=0),Contract_Register!$S$27,1)))</f>
        <v>24</v>
      </c>
      <c r="R67" s="67" t="n">
        <f aca="false">IF(R$5="A",Inputs_Actuals!R62,IF(Assumptions!R$201&lt;Contract_Register!$T$27,0,Q67*(1+Contract_Register!$M$27/2*Assumptions!$F$178)*IF(AND(Assumptions!R$201&gt;Contract_Register!$T$27,MOD(Assumptions!R$201-Contract_Register!$T$27,Assumptions!$C$90)=0),Contract_Register!$S$27,1)))</f>
        <v>24</v>
      </c>
      <c r="S67" s="67" t="n">
        <f aca="false">IF(S$5="A",Inputs_Actuals!S62,IF(Assumptions!S$201&lt;Contract_Register!$T$27,0,R67*(1+Contract_Register!$M$27/2*Assumptions!$F$178)*IF(AND(Assumptions!S$201&gt;Contract_Register!$T$27,MOD(Assumptions!S$201-Contract_Register!$T$27,Assumptions!$C$90)=0),Contract_Register!$S$27,1)))</f>
        <v>24</v>
      </c>
      <c r="T67" s="67" t="n">
        <f aca="false">IF(T$5="A",Inputs_Actuals!T62,IF(Assumptions!T$201&lt;Contract_Register!$T$27,0,S67*(1+Contract_Register!$M$27/2*Assumptions!$F$178)*IF(AND(Assumptions!T$201&gt;Contract_Register!$T$27,MOD(Assumptions!T$201-Contract_Register!$T$27,Assumptions!$C$90)=0),Contract_Register!$S$27,1)))</f>
        <v>24</v>
      </c>
      <c r="U67" s="67" t="n">
        <f aca="false">IF(U$5="A",Inputs_Actuals!U62,IF(Assumptions!U$201&lt;Contract_Register!$T$27,0,T67*(1+Contract_Register!$M$27/2*Assumptions!$F$178)*IF(AND(Assumptions!U$201&gt;Contract_Register!$T$27,MOD(Assumptions!U$201-Contract_Register!$T$27,Assumptions!$C$90)=0),Contract_Register!$S$27,1)))</f>
        <v>24</v>
      </c>
      <c r="V67" s="67" t="n">
        <f aca="false">IF(V$5="A",Inputs_Actuals!V62,IF(Assumptions!V$201&lt;Contract_Register!$T$27,0,U67*(1+Contract_Register!$M$27/2*Assumptions!$F$178)*IF(AND(Assumptions!V$201&gt;Contract_Register!$T$27,MOD(Assumptions!V$201-Contract_Register!$T$27,Assumptions!$C$90)=0),Contract_Register!$S$27,1)))</f>
        <v>24</v>
      </c>
      <c r="W67" s="67" t="n">
        <f aca="false">IF(W$5="A",Inputs_Actuals!W62,IF(Assumptions!W$201&lt;Contract_Register!$T$27,0,V67*(1+Contract_Register!$M$27/2*Assumptions!$F$178)*IF(AND(Assumptions!W$201&gt;Contract_Register!$T$27,MOD(Assumptions!W$201-Contract_Register!$T$27,Assumptions!$C$90)=0),Contract_Register!$S$27,1)))</f>
        <v>24</v>
      </c>
      <c r="X67" s="67" t="n">
        <f aca="false">IF(X$5="A",Inputs_Actuals!X62,IF(Assumptions!X$201&lt;Contract_Register!$T$27,0,W67*(1+Contract_Register!$M$27/2*Assumptions!$F$178)*IF(AND(Assumptions!X$201&gt;Contract_Register!$T$27,MOD(Assumptions!X$201-Contract_Register!$T$27,Assumptions!$C$90)=0),Contract_Register!$S$27,1)))</f>
        <v>24</v>
      </c>
      <c r="Y67" s="67" t="n">
        <f aca="false">IF(Y$5="A",Inputs_Actuals!Y62,IF(Assumptions!Y$201&lt;Contract_Register!$T$27,0,X67*(1+Contract_Register!$M$27/2*Assumptions!$F$178)*IF(AND(Assumptions!Y$201&gt;Contract_Register!$T$27,MOD(Assumptions!Y$201-Contract_Register!$T$27,Assumptions!$C$90)=0),Contract_Register!$S$27,1)))</f>
        <v>24</v>
      </c>
      <c r="Z67" s="67" t="n">
        <f aca="false">IF(Z$5="A",Inputs_Actuals!Z62,IF(Assumptions!Z$201&lt;Contract_Register!$T$27,0,Y67*(1+Contract_Register!$M$27/2*Assumptions!$F$178)*IF(AND(Assumptions!Z$201&gt;Contract_Register!$T$27,MOD(Assumptions!Z$201-Contract_Register!$T$27,Assumptions!$C$90)=0),Contract_Register!$S$27,1)))</f>
        <v>24</v>
      </c>
      <c r="AA67" s="67" t="n">
        <f aca="false">IF(AA$5="A",Inputs_Actuals!AA62,IF(Assumptions!AA$201&lt;Contract_Register!$T$27,0,Z67*(1+Contract_Register!$M$27/2*Assumptions!$F$178)*IF(AND(Assumptions!AA$201&gt;Contract_Register!$T$27,MOD(Assumptions!AA$201-Contract_Register!$T$27,Assumptions!$C$90)=0),Contract_Register!$S$27,1)))</f>
        <v>24</v>
      </c>
      <c r="AB67" s="67" t="n">
        <f aca="false">IF(AB$5="A",Inputs_Actuals!AB62,IF(Assumptions!AB$201&lt;Contract_Register!$T$27,0,AA67*(1+Contract_Register!$M$27/2*Assumptions!$F$178)*IF(AND(Assumptions!AB$201&gt;Contract_Register!$T$27,MOD(Assumptions!AB$201-Contract_Register!$T$27,Assumptions!$C$90)=0),Contract_Register!$S$27,1)))</f>
        <v>24</v>
      </c>
    </row>
    <row r="68" customFormat="false" ht="15" hidden="false" customHeight="false" outlineLevel="0" collapsed="false">
      <c r="A68" s="27" t="s">
        <v>834</v>
      </c>
      <c r="B68" s="63" t="s">
        <v>774</v>
      </c>
      <c r="C68" s="66" t="n">
        <f aca="false">P68</f>
        <v>51.3066891887582</v>
      </c>
      <c r="D68" s="66" t="n">
        <f aca="false">AB68</f>
        <v>49.1035948499018</v>
      </c>
      <c r="E68" s="67" t="n">
        <f aca="false">IF(E$5="A",Inputs_Actuals!E63,IF(Assumptions!E$201&lt;Contract_Register!$T$28,0,Contract_Register!$J$28*(1+Contract_Register!$M$28/2*Assumptions!$F$178)*IF(AND(Assumptions!E$201&gt;Contract_Register!$T$28,MOD(Assumptions!E$201-Contract_Register!$T$28,Assumptions!$C$90)=0),Contract_Register!$S$28,1)))</f>
        <v>50</v>
      </c>
      <c r="F68" s="67" t="n">
        <f aca="false">IF(F$5="A",Inputs_Actuals!F63,IF(Assumptions!F$201&lt;Contract_Register!$T$28,0,E68*(1+Contract_Register!$M$28/2*Assumptions!$F$178)*IF(AND(Assumptions!F$201&gt;Contract_Register!$T$28,MOD(Assumptions!F$201-Contract_Register!$T$28,Assumptions!$C$90)=0),Contract_Register!$S$28,1)))</f>
        <v>50</v>
      </c>
      <c r="G68" s="67" t="n">
        <f aca="false">IF(G$5="A",Inputs_Actuals!G63,IF(Assumptions!G$201&lt;Contract_Register!$T$28,0,F68*(1+Contract_Register!$M$28/2*Assumptions!$F$178)*IF(AND(Assumptions!G$201&gt;Contract_Register!$T$28,MOD(Assumptions!G$201-Contract_Register!$T$28,Assumptions!$C$90)=0),Contract_Register!$S$28,1)))</f>
        <v>50</v>
      </c>
      <c r="H68" s="67" t="n">
        <f aca="false">IF(H$5="A",Inputs_Actuals!H63,IF(Assumptions!H$201&lt;Contract_Register!$T$28,0,G68*(1+Contract_Register!$M$28/2*Assumptions!$F$178)*IF(AND(Assumptions!H$201&gt;Contract_Register!$T$28,MOD(Assumptions!H$201-Contract_Register!$T$28,Assumptions!$C$90)=0),Contract_Register!$S$28,1)))</f>
        <v>50</v>
      </c>
      <c r="I68" s="67" t="n">
        <f aca="false">IF(I$5="A",Inputs_Actuals!I63,IF(Assumptions!I$201&lt;Contract_Register!$T$28,0,H68*(1+Contract_Register!$M$28/2*Assumptions!$F$178)*IF(AND(Assumptions!I$201&gt;Contract_Register!$T$28,MOD(Assumptions!I$201-Contract_Register!$T$28,Assumptions!$C$90)=0),Contract_Register!$S$28,1)))</f>
        <v>51</v>
      </c>
      <c r="J68" s="67" t="n">
        <f aca="false">IF(J$5="A",Inputs_Actuals!J63,IF(Assumptions!J$201&lt;Contract_Register!$T$28,0,I68*(1+Contract_Register!$M$28/2*Assumptions!$F$178)*IF(AND(Assumptions!J$201&gt;Contract_Register!$T$28,MOD(Assumptions!J$201-Contract_Register!$T$28,Assumptions!$C$90)=0),Contract_Register!$S$28,1)))</f>
        <v>51</v>
      </c>
      <c r="K68" s="67" t="n">
        <f aca="false">IF(K$5="A",Inputs_Actuals!K63,IF(Assumptions!K$201&lt;Contract_Register!$T$28,0,J68*(1+Contract_Register!$M$28/2*Assumptions!$F$178)*IF(AND(Assumptions!K$201&gt;Contract_Register!$T$28,MOD(Assumptions!K$201-Contract_Register!$T$28,Assumptions!$C$90)=0),Contract_Register!$S$28,1)))</f>
        <v>51</v>
      </c>
      <c r="L68" s="67" t="n">
        <f aca="false">IF(L$5="A",Inputs_Actuals!L63,IF(Assumptions!L$201&lt;Contract_Register!$T$28,0,K68*(1+Contract_Register!$M$28/2*Assumptions!$F$178)*IF(AND(Assumptions!L$201&gt;Contract_Register!$T$28,MOD(Assumptions!L$201-Contract_Register!$T$28,Assumptions!$C$90)=0),Contract_Register!$S$28,1)))</f>
        <v>51</v>
      </c>
      <c r="M68" s="67" t="n">
        <f aca="false">IF(M$5="A",Inputs_Actuals!M63,IF(Assumptions!M$201&lt;Contract_Register!$T$28,0,L68*(1+Contract_Register!$M$28/2*Assumptions!$F$178)*IF(AND(Assumptions!M$201&gt;Contract_Register!$T$28,MOD(Assumptions!M$201-Contract_Register!$T$28,Assumptions!$C$90)=0),Contract_Register!$S$28,1)))</f>
        <v>51.0765</v>
      </c>
      <c r="N68" s="67" t="n">
        <f aca="false">IF(N$5="A",Inputs_Actuals!N63,IF(Assumptions!N$201&lt;Contract_Register!$T$28,0,M68*(1+Contract_Register!$M$28/2*Assumptions!$F$178)*IF(AND(Assumptions!N$201&gt;Contract_Register!$T$28,MOD(Assumptions!N$201-Contract_Register!$T$28,Assumptions!$C$90)=0),Contract_Register!$S$28,1)))</f>
        <v>51.15311475</v>
      </c>
      <c r="O68" s="67" t="n">
        <f aca="false">IF(O$5="A",Inputs_Actuals!O63,IF(Assumptions!O$201&lt;Contract_Register!$T$28,0,N68*(1+Contract_Register!$M$28/2*Assumptions!$F$178)*IF(AND(Assumptions!O$201&gt;Contract_Register!$T$28,MOD(Assumptions!O$201-Contract_Register!$T$28,Assumptions!$C$90)=0),Contract_Register!$S$28,1)))</f>
        <v>51.229844422125</v>
      </c>
      <c r="P68" s="67" t="n">
        <f aca="false">IF(P$5="A",Inputs_Actuals!P63,IF(Assumptions!P$201&lt;Contract_Register!$T$28,0,O68*(1+Contract_Register!$M$28/2*Assumptions!$F$178)*IF(AND(Assumptions!P$201&gt;Contract_Register!$T$28,MOD(Assumptions!P$201-Contract_Register!$T$28,Assumptions!$C$90)=0),Contract_Register!$S$28,1)))</f>
        <v>51.3066891887582</v>
      </c>
      <c r="Q68" s="67" t="n">
        <f aca="false">IF(Q$5="A",Inputs_Actuals!Q63,IF(Assumptions!Q$201&lt;Contract_Register!$T$28,0,P68*(1+Contract_Register!$M$28/2*Assumptions!$F$178)*IF(AND(Assumptions!Q$201&gt;Contract_Register!$T$28,MOD(Assumptions!Q$201-Contract_Register!$T$28,Assumptions!$C$90)=0),Contract_Register!$S$28,1)))</f>
        <v>51.3836492225413</v>
      </c>
      <c r="R68" s="67" t="n">
        <f aca="false">IF(R$5="A",Inputs_Actuals!R63,IF(Assumptions!R$201&lt;Contract_Register!$T$28,0,Q68*(1+Contract_Register!$M$28/2*Assumptions!$F$178)*IF(AND(Assumptions!R$201&gt;Contract_Register!$T$28,MOD(Assumptions!R$201-Contract_Register!$T$28,Assumptions!$C$90)=0),Contract_Register!$S$28,1)))</f>
        <v>51.4607246963752</v>
      </c>
      <c r="S68" s="67" t="n">
        <f aca="false">IF(S$5="A",Inputs_Actuals!S63,IF(Assumptions!S$201&lt;Contract_Register!$T$28,0,R68*(1+Contract_Register!$M$28/2*Assumptions!$F$178)*IF(AND(Assumptions!S$201&gt;Contract_Register!$T$28,MOD(Assumptions!S$201-Contract_Register!$T$28,Assumptions!$C$90)=0),Contract_Register!$S$28,1)))</f>
        <v>51.5379157834197</v>
      </c>
      <c r="T68" s="67" t="n">
        <f aca="false">IF(T$5="A",Inputs_Actuals!T63,IF(Assumptions!T$201&lt;Contract_Register!$T$28,0,S68*(1+Contract_Register!$M$28/2*Assumptions!$F$178)*IF(AND(Assumptions!T$201&gt;Contract_Register!$T$28,MOD(Assumptions!T$201-Contract_Register!$T$28,Assumptions!$C$90)=0),Contract_Register!$S$28,1)))</f>
        <v>51.6152226570949</v>
      </c>
      <c r="U68" s="67" t="n">
        <f aca="false">IF(U$5="A",Inputs_Actuals!U63,IF(Assumptions!U$201&lt;Contract_Register!$T$28,0,T68*(1+Contract_Register!$M$28/2*Assumptions!$F$178)*IF(AND(Assumptions!U$201&gt;Contract_Register!$T$28,MOD(Assumptions!U$201-Contract_Register!$T$28,Assumptions!$C$90)=0),Contract_Register!$S$28,1)))</f>
        <v>51.6926454910805</v>
      </c>
      <c r="V68" s="67" t="n">
        <f aca="false">IF(V$5="A",Inputs_Actuals!V63,IF(Assumptions!V$201&lt;Contract_Register!$T$28,0,U68*(1+Contract_Register!$M$28/2*Assumptions!$F$178)*IF(AND(Assumptions!V$201&gt;Contract_Register!$T$28,MOD(Assumptions!V$201-Contract_Register!$T$28,Assumptions!$C$90)=0),Contract_Register!$S$28,1)))</f>
        <v>51.7701844593171</v>
      </c>
      <c r="W68" s="67" t="n">
        <f aca="false">IF(W$5="A",Inputs_Actuals!W63,IF(Assumptions!W$201&lt;Contract_Register!$T$28,0,V68*(1+Contract_Register!$M$28/2*Assumptions!$F$178)*IF(AND(Assumptions!W$201&gt;Contract_Register!$T$28,MOD(Assumptions!W$201-Contract_Register!$T$28,Assumptions!$C$90)=0),Contract_Register!$S$28,1)))</f>
        <v>51.8478397360061</v>
      </c>
      <c r="X68" s="67" t="n">
        <f aca="false">IF(X$5="A",Inputs_Actuals!X63,IF(Assumptions!X$201&lt;Contract_Register!$T$28,0,W68*(1+Contract_Register!$M$28/2*Assumptions!$F$178)*IF(AND(Assumptions!X$201&gt;Contract_Register!$T$28,MOD(Assumptions!X$201-Contract_Register!$T$28,Assumptions!$C$90)=0),Contract_Register!$S$28,1)))</f>
        <v>51.9256114956101</v>
      </c>
      <c r="Y68" s="67" t="n">
        <f aca="false">IF(Y$5="A",Inputs_Actuals!Y63,IF(Assumptions!Y$201&lt;Contract_Register!$T$28,0,X68*(1+Contract_Register!$M$28/2*Assumptions!$F$178)*IF(AND(Assumptions!Y$201&gt;Contract_Register!$T$28,MOD(Assumptions!Y$201-Contract_Register!$T$28,Assumptions!$C$90)=0),Contract_Register!$S$28,1)))</f>
        <v>52.0034999128535</v>
      </c>
      <c r="Z68" s="67" t="n">
        <f aca="false">IF(Z$5="A",Inputs_Actuals!Z63,IF(Assumptions!Z$201&lt;Contract_Register!$T$28,0,Y68*(1+Contract_Register!$M$28/2*Assumptions!$F$178)*IF(AND(Assumptions!Z$201&gt;Contract_Register!$T$28,MOD(Assumptions!Z$201-Contract_Register!$T$28,Assumptions!$C$90)=0),Contract_Register!$S$28,1)))</f>
        <v>52.0815051627228</v>
      </c>
      <c r="AA68" s="67" t="n">
        <f aca="false">IF(AA$5="A",Inputs_Actuals!AA63,IF(Assumptions!AA$201&lt;Contract_Register!$T$28,0,Z68*(1+Contract_Register!$M$28/2*Assumptions!$F$178)*IF(AND(Assumptions!AA$201&gt;Contract_Register!$T$28,MOD(Assumptions!AA$201-Contract_Register!$T$28,Assumptions!$C$90)=0),Contract_Register!$S$28,1)))</f>
        <v>49.0300497752389</v>
      </c>
      <c r="AB68" s="67" t="n">
        <f aca="false">IF(AB$5="A",Inputs_Actuals!AB63,IF(Assumptions!AB$201&lt;Contract_Register!$T$28,0,AA68*(1+Contract_Register!$M$28/2*Assumptions!$F$178)*IF(AND(Assumptions!AB$201&gt;Contract_Register!$T$28,MOD(Assumptions!AB$201-Contract_Register!$T$28,Assumptions!$C$90)=0),Contract_Register!$S$28,1)))</f>
        <v>49.1035948499018</v>
      </c>
    </row>
    <row r="69" customFormat="false" ht="15" hidden="false" customHeight="false" outlineLevel="0" collapsed="false">
      <c r="A69" s="27" t="s">
        <v>835</v>
      </c>
      <c r="B69" s="63" t="s">
        <v>774</v>
      </c>
      <c r="C69" s="66" t="n">
        <f aca="false">P69</f>
        <v>9.05412162154556</v>
      </c>
      <c r="D69" s="66" t="n">
        <f aca="false">AB69</f>
        <v>9.21844709322311</v>
      </c>
      <c r="E69" s="67" t="n">
        <f aca="false">IF(E$5="A",Inputs_Actuals!E64,IF(Assumptions!E$201&lt;Contract_Register!$T$29,0,Contract_Register!$J$29*(1+Contract_Register!$M$29/2*Assumptions!$F$178)*IF(AND(Assumptions!E$201&gt;Contract_Register!$T$29,MOD(Assumptions!E$201-Contract_Register!$T$29,Assumptions!$C$90)=0),Contract_Register!$S$29,1)))</f>
        <v>9</v>
      </c>
      <c r="F69" s="67" t="n">
        <f aca="false">IF(F$5="A",Inputs_Actuals!F64,IF(Assumptions!F$201&lt;Contract_Register!$T$29,0,E69*(1+Contract_Register!$M$29/2*Assumptions!$F$178)*IF(AND(Assumptions!F$201&gt;Contract_Register!$T$29,MOD(Assumptions!F$201-Contract_Register!$T$29,Assumptions!$C$90)=0),Contract_Register!$S$29,1)))</f>
        <v>9</v>
      </c>
      <c r="G69" s="67" t="n">
        <f aca="false">IF(G$5="A",Inputs_Actuals!G64,IF(Assumptions!G$201&lt;Contract_Register!$T$29,0,F69*(1+Contract_Register!$M$29/2*Assumptions!$F$178)*IF(AND(Assumptions!G$201&gt;Contract_Register!$T$29,MOD(Assumptions!G$201-Contract_Register!$T$29,Assumptions!$C$90)=0),Contract_Register!$S$29,1)))</f>
        <v>9</v>
      </c>
      <c r="H69" s="67" t="n">
        <f aca="false">IF(H$5="A",Inputs_Actuals!H64,IF(Assumptions!H$201&lt;Contract_Register!$T$29,0,G69*(1+Contract_Register!$M$29/2*Assumptions!$F$178)*IF(AND(Assumptions!H$201&gt;Contract_Register!$T$29,MOD(Assumptions!H$201-Contract_Register!$T$29,Assumptions!$C$90)=0),Contract_Register!$S$29,1)))</f>
        <v>9</v>
      </c>
      <c r="I69" s="67" t="n">
        <f aca="false">IF(I$5="A",Inputs_Actuals!I64,IF(Assumptions!I$201&lt;Contract_Register!$T$29,0,H69*(1+Contract_Register!$M$29/2*Assumptions!$F$178)*IF(AND(Assumptions!I$201&gt;Contract_Register!$T$29,MOD(Assumptions!I$201-Contract_Register!$T$29,Assumptions!$C$90)=0),Contract_Register!$S$29,1)))</f>
        <v>9</v>
      </c>
      <c r="J69" s="67" t="n">
        <f aca="false">IF(J$5="A",Inputs_Actuals!J64,IF(Assumptions!J$201&lt;Contract_Register!$T$29,0,I69*(1+Contract_Register!$M$29/2*Assumptions!$F$178)*IF(AND(Assumptions!J$201&gt;Contract_Register!$T$29,MOD(Assumptions!J$201-Contract_Register!$T$29,Assumptions!$C$90)=0),Contract_Register!$S$29,1)))</f>
        <v>9</v>
      </c>
      <c r="K69" s="67" t="n">
        <f aca="false">IF(K$5="A",Inputs_Actuals!K64,IF(Assumptions!K$201&lt;Contract_Register!$T$29,0,J69*(1+Contract_Register!$M$29/2*Assumptions!$F$178)*IF(AND(Assumptions!K$201&gt;Contract_Register!$T$29,MOD(Assumptions!K$201-Contract_Register!$T$29,Assumptions!$C$90)=0),Contract_Register!$S$29,1)))</f>
        <v>9</v>
      </c>
      <c r="L69" s="67" t="n">
        <f aca="false">IF(L$5="A",Inputs_Actuals!L64,IF(Assumptions!L$201&lt;Contract_Register!$T$29,0,K69*(1+Contract_Register!$M$29/2*Assumptions!$F$178)*IF(AND(Assumptions!L$201&gt;Contract_Register!$T$29,MOD(Assumptions!L$201-Contract_Register!$T$29,Assumptions!$C$90)=0),Contract_Register!$S$29,1)))</f>
        <v>9</v>
      </c>
      <c r="M69" s="67" t="n">
        <f aca="false">IF(M$5="A",Inputs_Actuals!M64,IF(Assumptions!M$201&lt;Contract_Register!$T$29,0,L69*(1+Contract_Register!$M$29/2*Assumptions!$F$178)*IF(AND(Assumptions!M$201&gt;Contract_Register!$T$29,MOD(Assumptions!M$201-Contract_Register!$T$29,Assumptions!$C$90)=0),Contract_Register!$S$29,1)))</f>
        <v>9.0135</v>
      </c>
      <c r="N69" s="67" t="n">
        <f aca="false">IF(N$5="A",Inputs_Actuals!N64,IF(Assumptions!N$201&lt;Contract_Register!$T$29,0,M69*(1+Contract_Register!$M$29/2*Assumptions!$F$178)*IF(AND(Assumptions!N$201&gt;Contract_Register!$T$29,MOD(Assumptions!N$201-Contract_Register!$T$29,Assumptions!$C$90)=0),Contract_Register!$S$29,1)))</f>
        <v>9.02702025</v>
      </c>
      <c r="O69" s="67" t="n">
        <f aca="false">IF(O$5="A",Inputs_Actuals!O64,IF(Assumptions!O$201&lt;Contract_Register!$T$29,0,N69*(1+Contract_Register!$M$29/2*Assumptions!$F$178)*IF(AND(Assumptions!O$201&gt;Contract_Register!$T$29,MOD(Assumptions!O$201-Contract_Register!$T$29,Assumptions!$C$90)=0),Contract_Register!$S$29,1)))</f>
        <v>9.040560780375</v>
      </c>
      <c r="P69" s="67" t="n">
        <f aca="false">IF(P$5="A",Inputs_Actuals!P64,IF(Assumptions!P$201&lt;Contract_Register!$T$29,0,O69*(1+Contract_Register!$M$29/2*Assumptions!$F$178)*IF(AND(Assumptions!P$201&gt;Contract_Register!$T$29,MOD(Assumptions!P$201-Contract_Register!$T$29,Assumptions!$C$90)=0),Contract_Register!$S$29,1)))</f>
        <v>9.05412162154556</v>
      </c>
      <c r="Q69" s="67" t="n">
        <f aca="false">IF(Q$5="A",Inputs_Actuals!Q64,IF(Assumptions!Q$201&lt;Contract_Register!$T$29,0,P69*(1+Contract_Register!$M$29/2*Assumptions!$F$178)*IF(AND(Assumptions!Q$201&gt;Contract_Register!$T$29,MOD(Assumptions!Q$201-Contract_Register!$T$29,Assumptions!$C$90)=0),Contract_Register!$S$29,1)))</f>
        <v>9.06770280397788</v>
      </c>
      <c r="R69" s="67" t="n">
        <f aca="false">IF(R$5="A",Inputs_Actuals!R64,IF(Assumptions!R$201&lt;Contract_Register!$T$29,0,Q69*(1+Contract_Register!$M$29/2*Assumptions!$F$178)*IF(AND(Assumptions!R$201&gt;Contract_Register!$T$29,MOD(Assumptions!R$201-Contract_Register!$T$29,Assumptions!$C$90)=0),Contract_Register!$S$29,1)))</f>
        <v>9.08130435818385</v>
      </c>
      <c r="S69" s="67" t="n">
        <f aca="false">IF(S$5="A",Inputs_Actuals!S64,IF(Assumptions!S$201&lt;Contract_Register!$T$29,0,R69*(1+Contract_Register!$M$29/2*Assumptions!$F$178)*IF(AND(Assumptions!S$201&gt;Contract_Register!$T$29,MOD(Assumptions!S$201-Contract_Register!$T$29,Assumptions!$C$90)=0),Contract_Register!$S$29,1)))</f>
        <v>9.09492631472113</v>
      </c>
      <c r="T69" s="67" t="n">
        <f aca="false">IF(T$5="A",Inputs_Actuals!T64,IF(Assumptions!T$201&lt;Contract_Register!$T$29,0,S69*(1+Contract_Register!$M$29/2*Assumptions!$F$178)*IF(AND(Assumptions!T$201&gt;Contract_Register!$T$29,MOD(Assumptions!T$201-Contract_Register!$T$29,Assumptions!$C$90)=0),Contract_Register!$S$29,1)))</f>
        <v>9.10856870419321</v>
      </c>
      <c r="U69" s="67" t="n">
        <f aca="false">IF(U$5="A",Inputs_Actuals!U64,IF(Assumptions!U$201&lt;Contract_Register!$T$29,0,T69*(1+Contract_Register!$M$29/2*Assumptions!$F$178)*IF(AND(Assumptions!U$201&gt;Contract_Register!$T$29,MOD(Assumptions!U$201-Contract_Register!$T$29,Assumptions!$C$90)=0),Contract_Register!$S$29,1)))</f>
        <v>9.1222315572495</v>
      </c>
      <c r="V69" s="67" t="n">
        <f aca="false">IF(V$5="A",Inputs_Actuals!V64,IF(Assumptions!V$201&lt;Contract_Register!$T$29,0,U69*(1+Contract_Register!$M$29/2*Assumptions!$F$178)*IF(AND(Assumptions!V$201&gt;Contract_Register!$T$29,MOD(Assumptions!V$201-Contract_Register!$T$29,Assumptions!$C$90)=0),Contract_Register!$S$29,1)))</f>
        <v>9.13591490458537</v>
      </c>
      <c r="W69" s="67" t="n">
        <f aca="false">IF(W$5="A",Inputs_Actuals!W64,IF(Assumptions!W$201&lt;Contract_Register!$T$29,0,V69*(1+Contract_Register!$M$29/2*Assumptions!$F$178)*IF(AND(Assumptions!W$201&gt;Contract_Register!$T$29,MOD(Assumptions!W$201-Contract_Register!$T$29,Assumptions!$C$90)=0),Contract_Register!$S$29,1)))</f>
        <v>9.14961877694225</v>
      </c>
      <c r="X69" s="67" t="n">
        <f aca="false">IF(X$5="A",Inputs_Actuals!X64,IF(Assumptions!X$201&lt;Contract_Register!$T$29,0,W69*(1+Contract_Register!$M$29/2*Assumptions!$F$178)*IF(AND(Assumptions!X$201&gt;Contract_Register!$T$29,MOD(Assumptions!X$201-Contract_Register!$T$29,Assumptions!$C$90)=0),Contract_Register!$S$29,1)))</f>
        <v>9.16334320510767</v>
      </c>
      <c r="Y69" s="67" t="n">
        <f aca="false">IF(Y$5="A",Inputs_Actuals!Y64,IF(Assumptions!Y$201&lt;Contract_Register!$T$29,0,X69*(1+Contract_Register!$M$29/2*Assumptions!$F$178)*IF(AND(Assumptions!Y$201&gt;Contract_Register!$T$29,MOD(Assumptions!Y$201-Contract_Register!$T$29,Assumptions!$C$90)=0),Contract_Register!$S$29,1)))</f>
        <v>9.17708821991533</v>
      </c>
      <c r="Z69" s="67" t="n">
        <f aca="false">IF(Z$5="A",Inputs_Actuals!Z64,IF(Assumptions!Z$201&lt;Contract_Register!$T$29,0,Y69*(1+Contract_Register!$M$29/2*Assumptions!$F$178)*IF(AND(Assumptions!Z$201&gt;Contract_Register!$T$29,MOD(Assumptions!Z$201-Contract_Register!$T$29,Assumptions!$C$90)=0),Contract_Register!$S$29,1)))</f>
        <v>9.1908538522452</v>
      </c>
      <c r="AA69" s="67" t="n">
        <f aca="false">IF(AA$5="A",Inputs_Actuals!AA64,IF(Assumptions!AA$201&lt;Contract_Register!$T$29,0,Z69*(1+Contract_Register!$M$29/2*Assumptions!$F$178)*IF(AND(Assumptions!AA$201&gt;Contract_Register!$T$29,MOD(Assumptions!AA$201-Contract_Register!$T$29,Assumptions!$C$90)=0),Contract_Register!$S$29,1)))</f>
        <v>9.20464013302357</v>
      </c>
      <c r="AB69" s="67" t="n">
        <f aca="false">IF(AB$5="A",Inputs_Actuals!AB64,IF(Assumptions!AB$201&lt;Contract_Register!$T$29,0,AA69*(1+Contract_Register!$M$29/2*Assumptions!$F$178)*IF(AND(Assumptions!AB$201&gt;Contract_Register!$T$29,MOD(Assumptions!AB$201-Contract_Register!$T$29,Assumptions!$C$90)=0),Contract_Register!$S$29,1)))</f>
        <v>9.21844709322311</v>
      </c>
    </row>
    <row r="70" customFormat="false" ht="15" hidden="false" customHeight="false" outlineLevel="0" collapsed="false">
      <c r="A70" s="27" t="s">
        <v>836</v>
      </c>
      <c r="B70" s="63" t="s">
        <v>774</v>
      </c>
      <c r="C70" s="66" t="n">
        <f aca="false">P70</f>
        <v>0</v>
      </c>
      <c r="D70" s="66" t="n">
        <f aca="false">AB70</f>
        <v>0</v>
      </c>
      <c r="E70" s="67" t="n">
        <f aca="false">IF(E$5="A",Inputs_Actuals!E65,IF(Assumptions!E$201&lt;Contract_Register!$T$30,0,Contract_Register!$J$30*(1+Contract_Register!$M$30/2*Assumptions!$F$178)*IF(AND(Assumptions!E$201&gt;Contract_Register!$T$30,MOD(Assumptions!E$201-Contract_Register!$T$30,Assumptions!$C$90)=0),Contract_Register!$S$30,1)))</f>
        <v>40</v>
      </c>
      <c r="F70" s="67" t="n">
        <f aca="false">IF(F$5="A",Inputs_Actuals!F65,IF(Assumptions!F$201&lt;Contract_Register!$T$30,0,E70*(1+Contract_Register!$M$30/2*Assumptions!$F$178)*IF(AND(Assumptions!F$201&gt;Contract_Register!$T$30,MOD(Assumptions!F$201-Contract_Register!$T$30,Assumptions!$C$90)=0),Contract_Register!$S$30,1)))</f>
        <v>40</v>
      </c>
      <c r="G70" s="67" t="n">
        <f aca="false">IF(G$5="A",Inputs_Actuals!G65,IF(Assumptions!G$201&lt;Contract_Register!$T$30,0,F70*(1+Contract_Register!$M$30/2*Assumptions!$F$178)*IF(AND(Assumptions!G$201&gt;Contract_Register!$T$30,MOD(Assumptions!G$201-Contract_Register!$T$30,Assumptions!$C$90)=0),Contract_Register!$S$30,1)))</f>
        <v>40</v>
      </c>
      <c r="H70" s="67" t="n">
        <f aca="false">IF(H$5="A",Inputs_Actuals!H65,IF(Assumptions!H$201&lt;Contract_Register!$T$30,0,G70*(1+Contract_Register!$M$30/2*Assumptions!$F$178)*IF(AND(Assumptions!H$201&gt;Contract_Register!$T$30,MOD(Assumptions!H$201-Contract_Register!$T$30,Assumptions!$C$90)=0),Contract_Register!$S$30,1)))</f>
        <v>40</v>
      </c>
      <c r="I70" s="67" t="n">
        <f aca="false">IF(I$5="A",Inputs_Actuals!I65,IF(Assumptions!I$201&lt;Contract_Register!$T$30,0,H70*(1+Contract_Register!$M$30/2*Assumptions!$F$178)*IF(AND(Assumptions!I$201&gt;Contract_Register!$T$30,MOD(Assumptions!I$201-Contract_Register!$T$30,Assumptions!$C$90)=0),Contract_Register!$S$30,1)))</f>
        <v>0</v>
      </c>
      <c r="J70" s="67" t="n">
        <f aca="false">IF(J$5="A",Inputs_Actuals!J65,IF(Assumptions!J$201&lt;Contract_Register!$T$30,0,I70*(1+Contract_Register!$M$30/2*Assumptions!$F$178)*IF(AND(Assumptions!J$201&gt;Contract_Register!$T$30,MOD(Assumptions!J$201-Contract_Register!$T$30,Assumptions!$C$90)=0),Contract_Register!$S$30,1)))</f>
        <v>0</v>
      </c>
      <c r="K70" s="67" t="n">
        <f aca="false">IF(K$5="A",Inputs_Actuals!K65,IF(Assumptions!K$201&lt;Contract_Register!$T$30,0,J70*(1+Contract_Register!$M$30/2*Assumptions!$F$178)*IF(AND(Assumptions!K$201&gt;Contract_Register!$T$30,MOD(Assumptions!K$201-Contract_Register!$T$30,Assumptions!$C$90)=0),Contract_Register!$S$30,1)))</f>
        <v>0</v>
      </c>
      <c r="L70" s="67" t="n">
        <f aca="false">IF(L$5="A",Inputs_Actuals!L65,IF(Assumptions!L$201&lt;Contract_Register!$T$30,0,K70*(1+Contract_Register!$M$30/2*Assumptions!$F$178)*IF(AND(Assumptions!L$201&gt;Contract_Register!$T$30,MOD(Assumptions!L$201-Contract_Register!$T$30,Assumptions!$C$90)=0),Contract_Register!$S$30,1)))</f>
        <v>0</v>
      </c>
      <c r="M70" s="67" t="n">
        <f aca="false">IF(M$5="A",Inputs_Actuals!M65,IF(Assumptions!M$201&lt;Contract_Register!$T$30,0,L70*(1+Contract_Register!$M$30/2*Assumptions!$F$178)*IF(AND(Assumptions!M$201&gt;Contract_Register!$T$30,MOD(Assumptions!M$201-Contract_Register!$T$30,Assumptions!$C$90)=0),Contract_Register!$S$30,1)))</f>
        <v>0</v>
      </c>
      <c r="N70" s="67" t="n">
        <f aca="false">IF(N$5="A",Inputs_Actuals!N65,IF(Assumptions!N$201&lt;Contract_Register!$T$30,0,M70*(1+Contract_Register!$M$30/2*Assumptions!$F$178)*IF(AND(Assumptions!N$201&gt;Contract_Register!$T$30,MOD(Assumptions!N$201-Contract_Register!$T$30,Assumptions!$C$90)=0),Contract_Register!$S$30,1)))</f>
        <v>0</v>
      </c>
      <c r="O70" s="67" t="n">
        <f aca="false">IF(O$5="A",Inputs_Actuals!O65,IF(Assumptions!O$201&lt;Contract_Register!$T$30,0,N70*(1+Contract_Register!$M$30/2*Assumptions!$F$178)*IF(AND(Assumptions!O$201&gt;Contract_Register!$T$30,MOD(Assumptions!O$201-Contract_Register!$T$30,Assumptions!$C$90)=0),Contract_Register!$S$30,1)))</f>
        <v>0</v>
      </c>
      <c r="P70" s="67" t="n">
        <f aca="false">IF(P$5="A",Inputs_Actuals!P65,IF(Assumptions!P$201&lt;Contract_Register!$T$30,0,O70*(1+Contract_Register!$M$30/2*Assumptions!$F$178)*IF(AND(Assumptions!P$201&gt;Contract_Register!$T$30,MOD(Assumptions!P$201-Contract_Register!$T$30,Assumptions!$C$90)=0),Contract_Register!$S$30,1)))</f>
        <v>0</v>
      </c>
      <c r="Q70" s="67" t="n">
        <f aca="false">IF(Q$5="A",Inputs_Actuals!Q65,IF(Assumptions!Q$201&lt;Contract_Register!$T$30,0,P70*(1+Contract_Register!$M$30/2*Assumptions!$F$178)*IF(AND(Assumptions!Q$201&gt;Contract_Register!$T$30,MOD(Assumptions!Q$201-Contract_Register!$T$30,Assumptions!$C$90)=0),Contract_Register!$S$30,1)))</f>
        <v>0</v>
      </c>
      <c r="R70" s="67" t="n">
        <f aca="false">IF(R$5="A",Inputs_Actuals!R65,IF(Assumptions!R$201&lt;Contract_Register!$T$30,0,Q70*(1+Contract_Register!$M$30/2*Assumptions!$F$178)*IF(AND(Assumptions!R$201&gt;Contract_Register!$T$30,MOD(Assumptions!R$201-Contract_Register!$T$30,Assumptions!$C$90)=0),Contract_Register!$S$30,1)))</f>
        <v>0</v>
      </c>
      <c r="S70" s="67" t="n">
        <f aca="false">IF(S$5="A",Inputs_Actuals!S65,IF(Assumptions!S$201&lt;Contract_Register!$T$30,0,R70*(1+Contract_Register!$M$30/2*Assumptions!$F$178)*IF(AND(Assumptions!S$201&gt;Contract_Register!$T$30,MOD(Assumptions!S$201-Contract_Register!$T$30,Assumptions!$C$90)=0),Contract_Register!$S$30,1)))</f>
        <v>0</v>
      </c>
      <c r="T70" s="67" t="n">
        <f aca="false">IF(T$5="A",Inputs_Actuals!T65,IF(Assumptions!T$201&lt;Contract_Register!$T$30,0,S70*(1+Contract_Register!$M$30/2*Assumptions!$F$178)*IF(AND(Assumptions!T$201&gt;Contract_Register!$T$30,MOD(Assumptions!T$201-Contract_Register!$T$30,Assumptions!$C$90)=0),Contract_Register!$S$30,1)))</f>
        <v>0</v>
      </c>
      <c r="U70" s="67" t="n">
        <f aca="false">IF(U$5="A",Inputs_Actuals!U65,IF(Assumptions!U$201&lt;Contract_Register!$T$30,0,T70*(1+Contract_Register!$M$30/2*Assumptions!$F$178)*IF(AND(Assumptions!U$201&gt;Contract_Register!$T$30,MOD(Assumptions!U$201-Contract_Register!$T$30,Assumptions!$C$90)=0),Contract_Register!$S$30,1)))</f>
        <v>0</v>
      </c>
      <c r="V70" s="67" t="n">
        <f aca="false">IF(V$5="A",Inputs_Actuals!V65,IF(Assumptions!V$201&lt;Contract_Register!$T$30,0,U70*(1+Contract_Register!$M$30/2*Assumptions!$F$178)*IF(AND(Assumptions!V$201&gt;Contract_Register!$T$30,MOD(Assumptions!V$201-Contract_Register!$T$30,Assumptions!$C$90)=0),Contract_Register!$S$30,1)))</f>
        <v>0</v>
      </c>
      <c r="W70" s="67" t="n">
        <f aca="false">IF(W$5="A",Inputs_Actuals!W65,IF(Assumptions!W$201&lt;Contract_Register!$T$30,0,V70*(1+Contract_Register!$M$30/2*Assumptions!$F$178)*IF(AND(Assumptions!W$201&gt;Contract_Register!$T$30,MOD(Assumptions!W$201-Contract_Register!$T$30,Assumptions!$C$90)=0),Contract_Register!$S$30,1)))</f>
        <v>0</v>
      </c>
      <c r="X70" s="67" t="n">
        <f aca="false">IF(X$5="A",Inputs_Actuals!X65,IF(Assumptions!X$201&lt;Contract_Register!$T$30,0,W70*(1+Contract_Register!$M$30/2*Assumptions!$F$178)*IF(AND(Assumptions!X$201&gt;Contract_Register!$T$30,MOD(Assumptions!X$201-Contract_Register!$T$30,Assumptions!$C$90)=0),Contract_Register!$S$30,1)))</f>
        <v>0</v>
      </c>
      <c r="Y70" s="67" t="n">
        <f aca="false">IF(Y$5="A",Inputs_Actuals!Y65,IF(Assumptions!Y$201&lt;Contract_Register!$T$30,0,X70*(1+Contract_Register!$M$30/2*Assumptions!$F$178)*IF(AND(Assumptions!Y$201&gt;Contract_Register!$T$30,MOD(Assumptions!Y$201-Contract_Register!$T$30,Assumptions!$C$90)=0),Contract_Register!$S$30,1)))</f>
        <v>0</v>
      </c>
      <c r="Z70" s="67" t="n">
        <f aca="false">IF(Z$5="A",Inputs_Actuals!Z65,IF(Assumptions!Z$201&lt;Contract_Register!$T$30,0,Y70*(1+Contract_Register!$M$30/2*Assumptions!$F$178)*IF(AND(Assumptions!Z$201&gt;Contract_Register!$T$30,MOD(Assumptions!Z$201-Contract_Register!$T$30,Assumptions!$C$90)=0),Contract_Register!$S$30,1)))</f>
        <v>0</v>
      </c>
      <c r="AA70" s="67" t="n">
        <f aca="false">IF(AA$5="A",Inputs_Actuals!AA65,IF(Assumptions!AA$201&lt;Contract_Register!$T$30,0,Z70*(1+Contract_Register!$M$30/2*Assumptions!$F$178)*IF(AND(Assumptions!AA$201&gt;Contract_Register!$T$30,MOD(Assumptions!AA$201-Contract_Register!$T$30,Assumptions!$C$90)=0),Contract_Register!$S$30,1)))</f>
        <v>0</v>
      </c>
      <c r="AB70" s="67" t="n">
        <f aca="false">IF(AB$5="A",Inputs_Actuals!AB65,IF(Assumptions!AB$201&lt;Contract_Register!$T$30,0,AA70*(1+Contract_Register!$M$30/2*Assumptions!$F$178)*IF(AND(Assumptions!AB$201&gt;Contract_Register!$T$30,MOD(Assumptions!AB$201-Contract_Register!$T$30,Assumptions!$C$90)=0),Contract_Register!$S$30,1)))</f>
        <v>0</v>
      </c>
    </row>
    <row r="71" customFormat="false" ht="15" hidden="false" customHeight="false" outlineLevel="0" collapsed="false">
      <c r="A71" s="27" t="s">
        <v>837</v>
      </c>
      <c r="B71" s="63" t="s">
        <v>774</v>
      </c>
      <c r="C71" s="66" t="n">
        <f aca="false">P71</f>
        <v>47.188282188047</v>
      </c>
      <c r="D71" s="66" t="n">
        <f aca="false">AB71</f>
        <v>44.4146297573434</v>
      </c>
      <c r="E71" s="67" t="n">
        <f aca="false">IF(E$5="A",Inputs_Actuals!E66,IF(Assumptions!E$201&lt;Contract_Register!$T$31,0,Contract_Register!$J$31*(1+Contract_Register!$M$31/2*Assumptions!$F$178)*IF(AND(Assumptions!E$201&gt;Contract_Register!$T$31,MOD(Assumptions!E$201-Contract_Register!$T$31,Assumptions!$C$90)=0),Contract_Register!$S$31,1)))</f>
        <v>45</v>
      </c>
      <c r="F71" s="67" t="n">
        <f aca="false">IF(F$5="A",Inputs_Actuals!F66,IF(Assumptions!F$201&lt;Contract_Register!$T$31,0,E71*(1+Contract_Register!$M$31/2*Assumptions!$F$178)*IF(AND(Assumptions!F$201&gt;Contract_Register!$T$31,MOD(Assumptions!F$201-Contract_Register!$T$31,Assumptions!$C$90)=0),Contract_Register!$S$31,1)))</f>
        <v>45</v>
      </c>
      <c r="G71" s="67" t="n">
        <f aca="false">IF(G$5="A",Inputs_Actuals!G66,IF(Assumptions!G$201&lt;Contract_Register!$T$31,0,F71*(1+Contract_Register!$M$31/2*Assumptions!$F$178)*IF(AND(Assumptions!G$201&gt;Contract_Register!$T$31,MOD(Assumptions!G$201-Contract_Register!$T$31,Assumptions!$C$90)=0),Contract_Register!$S$31,1)))</f>
        <v>46</v>
      </c>
      <c r="H71" s="67" t="n">
        <f aca="false">IF(H$5="A",Inputs_Actuals!H66,IF(Assumptions!H$201&lt;Contract_Register!$T$31,0,G71*(1+Contract_Register!$M$31/2*Assumptions!$F$178)*IF(AND(Assumptions!H$201&gt;Contract_Register!$T$31,MOD(Assumptions!H$201-Contract_Register!$T$31,Assumptions!$C$90)=0),Contract_Register!$S$31,1)))</f>
        <v>46</v>
      </c>
      <c r="I71" s="67" t="n">
        <f aca="false">IF(I$5="A",Inputs_Actuals!I66,IF(Assumptions!I$201&lt;Contract_Register!$T$31,0,H71*(1+Contract_Register!$M$31/2*Assumptions!$F$178)*IF(AND(Assumptions!I$201&gt;Contract_Register!$T$31,MOD(Assumptions!I$201-Contract_Register!$T$31,Assumptions!$C$90)=0),Contract_Register!$S$31,1)))</f>
        <v>46</v>
      </c>
      <c r="J71" s="67" t="n">
        <f aca="false">IF(J$5="A",Inputs_Actuals!J66,IF(Assumptions!J$201&lt;Contract_Register!$T$31,0,I71*(1+Contract_Register!$M$31/2*Assumptions!$F$178)*IF(AND(Assumptions!J$201&gt;Contract_Register!$T$31,MOD(Assumptions!J$201-Contract_Register!$T$31,Assumptions!$C$90)=0),Contract_Register!$S$31,1)))</f>
        <v>46</v>
      </c>
      <c r="K71" s="67" t="n">
        <f aca="false">IF(K$5="A",Inputs_Actuals!K66,IF(Assumptions!K$201&lt;Contract_Register!$T$31,0,J71*(1+Contract_Register!$M$31/2*Assumptions!$F$178)*IF(AND(Assumptions!K$201&gt;Contract_Register!$T$31,MOD(Assumptions!K$201-Contract_Register!$T$31,Assumptions!$C$90)=0),Contract_Register!$S$31,1)))</f>
        <v>47</v>
      </c>
      <c r="L71" s="67" t="n">
        <f aca="false">IF(L$5="A",Inputs_Actuals!L66,IF(Assumptions!L$201&lt;Contract_Register!$T$31,0,K71*(1+Contract_Register!$M$31/2*Assumptions!$F$178)*IF(AND(Assumptions!L$201&gt;Contract_Register!$T$31,MOD(Assumptions!L$201-Contract_Register!$T$31,Assumptions!$C$90)=0),Contract_Register!$S$31,1)))</f>
        <v>47</v>
      </c>
      <c r="M71" s="67" t="n">
        <f aca="false">IF(M$5="A",Inputs_Actuals!M66,IF(Assumptions!M$201&lt;Contract_Register!$T$31,0,L71*(1+Contract_Register!$M$31/2*Assumptions!$F$178)*IF(AND(Assumptions!M$201&gt;Contract_Register!$T$31,MOD(Assumptions!M$201-Contract_Register!$T$31,Assumptions!$C$90)=0),Contract_Register!$S$31,1)))</f>
        <v>47.047</v>
      </c>
      <c r="N71" s="67" t="n">
        <f aca="false">IF(N$5="A",Inputs_Actuals!N66,IF(Assumptions!N$201&lt;Contract_Register!$T$31,0,M71*(1+Contract_Register!$M$31/2*Assumptions!$F$178)*IF(AND(Assumptions!N$201&gt;Contract_Register!$T$31,MOD(Assumptions!N$201-Contract_Register!$T$31,Assumptions!$C$90)=0),Contract_Register!$S$31,1)))</f>
        <v>47.094047</v>
      </c>
      <c r="O71" s="67" t="n">
        <f aca="false">IF(O$5="A",Inputs_Actuals!O66,IF(Assumptions!O$201&lt;Contract_Register!$T$31,0,N71*(1+Contract_Register!$M$31/2*Assumptions!$F$178)*IF(AND(Assumptions!O$201&gt;Contract_Register!$T$31,MOD(Assumptions!O$201-Contract_Register!$T$31,Assumptions!$C$90)=0),Contract_Register!$S$31,1)))</f>
        <v>47.141141047</v>
      </c>
      <c r="P71" s="67" t="n">
        <f aca="false">IF(P$5="A",Inputs_Actuals!P66,IF(Assumptions!P$201&lt;Contract_Register!$T$31,0,O71*(1+Contract_Register!$M$31/2*Assumptions!$F$178)*IF(AND(Assumptions!P$201&gt;Contract_Register!$T$31,MOD(Assumptions!P$201-Contract_Register!$T$31,Assumptions!$C$90)=0),Contract_Register!$S$31,1)))</f>
        <v>47.188282188047</v>
      </c>
      <c r="Q71" s="67" t="n">
        <f aca="false">IF(Q$5="A",Inputs_Actuals!Q66,IF(Assumptions!Q$201&lt;Contract_Register!$T$31,0,P71*(1+Contract_Register!$M$31/2*Assumptions!$F$178)*IF(AND(Assumptions!Q$201&gt;Contract_Register!$T$31,MOD(Assumptions!Q$201-Contract_Register!$T$31,Assumptions!$C$90)=0),Contract_Register!$S$31,1)))</f>
        <v>47.235470470235</v>
      </c>
      <c r="R71" s="67" t="n">
        <f aca="false">IF(R$5="A",Inputs_Actuals!R66,IF(Assumptions!R$201&lt;Contract_Register!$T$31,0,Q71*(1+Contract_Register!$M$31/2*Assumptions!$F$178)*IF(AND(Assumptions!R$201&gt;Contract_Register!$T$31,MOD(Assumptions!R$201-Contract_Register!$T$31,Assumptions!$C$90)=0),Contract_Register!$S$31,1)))</f>
        <v>47.2827059407052</v>
      </c>
      <c r="S71" s="67" t="n">
        <f aca="false">IF(S$5="A",Inputs_Actuals!S66,IF(Assumptions!S$201&lt;Contract_Register!$T$31,0,R71*(1+Contract_Register!$M$31/2*Assumptions!$F$178)*IF(AND(Assumptions!S$201&gt;Contract_Register!$T$31,MOD(Assumptions!S$201-Contract_Register!$T$31,Assumptions!$C$90)=0),Contract_Register!$S$31,1)))</f>
        <v>47.3299886466459</v>
      </c>
      <c r="T71" s="67" t="n">
        <f aca="false">IF(T$5="A",Inputs_Actuals!T66,IF(Assumptions!T$201&lt;Contract_Register!$T$31,0,S71*(1+Contract_Register!$M$31/2*Assumptions!$F$178)*IF(AND(Assumptions!T$201&gt;Contract_Register!$T$31,MOD(Assumptions!T$201-Contract_Register!$T$31,Assumptions!$C$90)=0),Contract_Register!$S$31,1)))</f>
        <v>44.0609063308221</v>
      </c>
      <c r="U71" s="67" t="n">
        <f aca="false">IF(U$5="A",Inputs_Actuals!U66,IF(Assumptions!U$201&lt;Contract_Register!$T$31,0,T71*(1+Contract_Register!$M$31/2*Assumptions!$F$178)*IF(AND(Assumptions!U$201&gt;Contract_Register!$T$31,MOD(Assumptions!U$201-Contract_Register!$T$31,Assumptions!$C$90)=0),Contract_Register!$S$31,1)))</f>
        <v>44.1049672371529</v>
      </c>
      <c r="V71" s="67" t="n">
        <f aca="false">IF(V$5="A",Inputs_Actuals!V66,IF(Assumptions!V$201&lt;Contract_Register!$T$31,0,U71*(1+Contract_Register!$M$31/2*Assumptions!$F$178)*IF(AND(Assumptions!V$201&gt;Contract_Register!$T$31,MOD(Assumptions!V$201-Contract_Register!$T$31,Assumptions!$C$90)=0),Contract_Register!$S$31,1)))</f>
        <v>44.1490722043901</v>
      </c>
      <c r="W71" s="67" t="n">
        <f aca="false">IF(W$5="A",Inputs_Actuals!W66,IF(Assumptions!W$201&lt;Contract_Register!$T$31,0,V71*(1+Contract_Register!$M$31/2*Assumptions!$F$178)*IF(AND(Assumptions!W$201&gt;Contract_Register!$T$31,MOD(Assumptions!W$201-Contract_Register!$T$31,Assumptions!$C$90)=0),Contract_Register!$S$31,1)))</f>
        <v>44.1932212765945</v>
      </c>
      <c r="X71" s="67" t="n">
        <f aca="false">IF(X$5="A",Inputs_Actuals!X66,IF(Assumptions!X$201&lt;Contract_Register!$T$31,0,W71*(1+Contract_Register!$M$31/2*Assumptions!$F$178)*IF(AND(Assumptions!X$201&gt;Contract_Register!$T$31,MOD(Assumptions!X$201-Contract_Register!$T$31,Assumptions!$C$90)=0),Contract_Register!$S$31,1)))</f>
        <v>44.237414497871</v>
      </c>
      <c r="Y71" s="67" t="n">
        <f aca="false">IF(Y$5="A",Inputs_Actuals!Y66,IF(Assumptions!Y$201&lt;Contract_Register!$T$31,0,X71*(1+Contract_Register!$M$31/2*Assumptions!$F$178)*IF(AND(Assumptions!Y$201&gt;Contract_Register!$T$31,MOD(Assumptions!Y$201-Contract_Register!$T$31,Assumptions!$C$90)=0),Contract_Register!$S$31,1)))</f>
        <v>44.2816519123689</v>
      </c>
      <c r="Z71" s="67" t="n">
        <f aca="false">IF(Z$5="A",Inputs_Actuals!Z66,IF(Assumptions!Z$201&lt;Contract_Register!$T$31,0,Y71*(1+Contract_Register!$M$31/2*Assumptions!$F$178)*IF(AND(Assumptions!Z$201&gt;Contract_Register!$T$31,MOD(Assumptions!Z$201-Contract_Register!$T$31,Assumptions!$C$90)=0),Contract_Register!$S$31,1)))</f>
        <v>44.3259335642813</v>
      </c>
      <c r="AA71" s="67" t="n">
        <f aca="false">IF(AA$5="A",Inputs_Actuals!AA66,IF(Assumptions!AA$201&lt;Contract_Register!$T$31,0,Z71*(1+Contract_Register!$M$31/2*Assumptions!$F$178)*IF(AND(Assumptions!AA$201&gt;Contract_Register!$T$31,MOD(Assumptions!AA$201-Contract_Register!$T$31,Assumptions!$C$90)=0),Contract_Register!$S$31,1)))</f>
        <v>44.3702594978455</v>
      </c>
      <c r="AB71" s="67" t="n">
        <f aca="false">IF(AB$5="A",Inputs_Actuals!AB66,IF(Assumptions!AB$201&lt;Contract_Register!$T$31,0,AA71*(1+Contract_Register!$M$31/2*Assumptions!$F$178)*IF(AND(Assumptions!AB$201&gt;Contract_Register!$T$31,MOD(Assumptions!AB$201-Contract_Register!$T$31,Assumptions!$C$90)=0),Contract_Register!$S$31,1)))</f>
        <v>44.4146297573434</v>
      </c>
    </row>
    <row r="72" customFormat="false" ht="15" hidden="false" customHeight="false" outlineLevel="0" collapsed="false">
      <c r="A72" s="27" t="s">
        <v>838</v>
      </c>
      <c r="B72" s="63" t="s">
        <v>774</v>
      </c>
      <c r="C72" s="66" t="n">
        <f aca="false">P72</f>
        <v>34.136204136034</v>
      </c>
      <c r="D72" s="66" t="n">
        <f aca="false">AB72</f>
        <v>34.5480991020287</v>
      </c>
      <c r="E72" s="67" t="n">
        <f aca="false">IF(E$5="A",Inputs_Actuals!E67,IF(Assumptions!E$201&lt;Contract_Register!$T$32,0,Contract_Register!$J$32*(1+Contract_Register!$M$32/2*Assumptions!$F$178)*IF(AND(Assumptions!E$201&gt;Contract_Register!$T$32,MOD(Assumptions!E$201-Contract_Register!$T$32,Assumptions!$C$90)=0),Contract_Register!$S$32,1)))</f>
        <v>34</v>
      </c>
      <c r="F72" s="67" t="n">
        <f aca="false">IF(F$5="A",Inputs_Actuals!F67,IF(Assumptions!F$201&lt;Contract_Register!$T$32,0,E72*(1+Contract_Register!$M$32/2*Assumptions!$F$178)*IF(AND(Assumptions!F$201&gt;Contract_Register!$T$32,MOD(Assumptions!F$201-Contract_Register!$T$32,Assumptions!$C$90)=0),Contract_Register!$S$32,1)))</f>
        <v>34</v>
      </c>
      <c r="G72" s="67" t="n">
        <f aca="false">IF(G$5="A",Inputs_Actuals!G67,IF(Assumptions!G$201&lt;Contract_Register!$T$32,0,F72*(1+Contract_Register!$M$32/2*Assumptions!$F$178)*IF(AND(Assumptions!G$201&gt;Contract_Register!$T$32,MOD(Assumptions!G$201-Contract_Register!$T$32,Assumptions!$C$90)=0),Contract_Register!$S$32,1)))</f>
        <v>34</v>
      </c>
      <c r="H72" s="67" t="n">
        <f aca="false">IF(H$5="A",Inputs_Actuals!H67,IF(Assumptions!H$201&lt;Contract_Register!$T$32,0,G72*(1+Contract_Register!$M$32/2*Assumptions!$F$178)*IF(AND(Assumptions!H$201&gt;Contract_Register!$T$32,MOD(Assumptions!H$201-Contract_Register!$T$32,Assumptions!$C$90)=0),Contract_Register!$S$32,1)))</f>
        <v>34</v>
      </c>
      <c r="I72" s="67" t="n">
        <f aca="false">IF(I$5="A",Inputs_Actuals!I67,IF(Assumptions!I$201&lt;Contract_Register!$T$32,0,H72*(1+Contract_Register!$M$32/2*Assumptions!$F$178)*IF(AND(Assumptions!I$201&gt;Contract_Register!$T$32,MOD(Assumptions!I$201-Contract_Register!$T$32,Assumptions!$C$90)=0),Contract_Register!$S$32,1)))</f>
        <v>34</v>
      </c>
      <c r="J72" s="67" t="n">
        <f aca="false">IF(J$5="A",Inputs_Actuals!J67,IF(Assumptions!J$201&lt;Contract_Register!$T$32,0,I72*(1+Contract_Register!$M$32/2*Assumptions!$F$178)*IF(AND(Assumptions!J$201&gt;Contract_Register!$T$32,MOD(Assumptions!J$201-Contract_Register!$T$32,Assumptions!$C$90)=0),Contract_Register!$S$32,1)))</f>
        <v>34</v>
      </c>
      <c r="K72" s="67" t="n">
        <f aca="false">IF(K$5="A",Inputs_Actuals!K67,IF(Assumptions!K$201&lt;Contract_Register!$T$32,0,J72*(1+Contract_Register!$M$32/2*Assumptions!$F$178)*IF(AND(Assumptions!K$201&gt;Contract_Register!$T$32,MOD(Assumptions!K$201-Contract_Register!$T$32,Assumptions!$C$90)=0),Contract_Register!$S$32,1)))</f>
        <v>34</v>
      </c>
      <c r="L72" s="67" t="n">
        <f aca="false">IF(L$5="A",Inputs_Actuals!L67,IF(Assumptions!L$201&lt;Contract_Register!$T$32,0,K72*(1+Contract_Register!$M$32/2*Assumptions!$F$178)*IF(AND(Assumptions!L$201&gt;Contract_Register!$T$32,MOD(Assumptions!L$201-Contract_Register!$T$32,Assumptions!$C$90)=0),Contract_Register!$S$32,1)))</f>
        <v>34</v>
      </c>
      <c r="M72" s="67" t="n">
        <f aca="false">IF(M$5="A",Inputs_Actuals!M67,IF(Assumptions!M$201&lt;Contract_Register!$T$32,0,L72*(1+Contract_Register!$M$32/2*Assumptions!$F$178)*IF(AND(Assumptions!M$201&gt;Contract_Register!$T$32,MOD(Assumptions!M$201-Contract_Register!$T$32,Assumptions!$C$90)=0),Contract_Register!$S$32,1)))</f>
        <v>34.034</v>
      </c>
      <c r="N72" s="67" t="n">
        <f aca="false">IF(N$5="A",Inputs_Actuals!N67,IF(Assumptions!N$201&lt;Contract_Register!$T$32,0,M72*(1+Contract_Register!$M$32/2*Assumptions!$F$178)*IF(AND(Assumptions!N$201&gt;Contract_Register!$T$32,MOD(Assumptions!N$201-Contract_Register!$T$32,Assumptions!$C$90)=0),Contract_Register!$S$32,1)))</f>
        <v>34.068034</v>
      </c>
      <c r="O72" s="67" t="n">
        <f aca="false">IF(O$5="A",Inputs_Actuals!O67,IF(Assumptions!O$201&lt;Contract_Register!$T$32,0,N72*(1+Contract_Register!$M$32/2*Assumptions!$F$178)*IF(AND(Assumptions!O$201&gt;Contract_Register!$T$32,MOD(Assumptions!O$201-Contract_Register!$T$32,Assumptions!$C$90)=0),Contract_Register!$S$32,1)))</f>
        <v>34.102102034</v>
      </c>
      <c r="P72" s="67" t="n">
        <f aca="false">IF(P$5="A",Inputs_Actuals!P67,IF(Assumptions!P$201&lt;Contract_Register!$T$32,0,O72*(1+Contract_Register!$M$32/2*Assumptions!$F$178)*IF(AND(Assumptions!P$201&gt;Contract_Register!$T$32,MOD(Assumptions!P$201-Contract_Register!$T$32,Assumptions!$C$90)=0),Contract_Register!$S$32,1)))</f>
        <v>34.136204136034</v>
      </c>
      <c r="Q72" s="67" t="n">
        <f aca="false">IF(Q$5="A",Inputs_Actuals!Q67,IF(Assumptions!Q$201&lt;Contract_Register!$T$32,0,P72*(1+Contract_Register!$M$32/2*Assumptions!$F$178)*IF(AND(Assumptions!Q$201&gt;Contract_Register!$T$32,MOD(Assumptions!Q$201-Contract_Register!$T$32,Assumptions!$C$90)=0),Contract_Register!$S$32,1)))</f>
        <v>34.17034034017</v>
      </c>
      <c r="R72" s="67" t="n">
        <f aca="false">IF(R$5="A",Inputs_Actuals!R67,IF(Assumptions!R$201&lt;Contract_Register!$T$32,0,Q72*(1+Contract_Register!$M$32/2*Assumptions!$F$178)*IF(AND(Assumptions!R$201&gt;Contract_Register!$T$32,MOD(Assumptions!R$201-Contract_Register!$T$32,Assumptions!$C$90)=0),Contract_Register!$S$32,1)))</f>
        <v>34.2045106805102</v>
      </c>
      <c r="S72" s="67" t="n">
        <f aca="false">IF(S$5="A",Inputs_Actuals!S67,IF(Assumptions!S$201&lt;Contract_Register!$T$32,0,R72*(1+Contract_Register!$M$32/2*Assumptions!$F$178)*IF(AND(Assumptions!S$201&gt;Contract_Register!$T$32,MOD(Assumptions!S$201-Contract_Register!$T$32,Assumptions!$C$90)=0),Contract_Register!$S$32,1)))</f>
        <v>34.2387151911907</v>
      </c>
      <c r="T72" s="67" t="n">
        <f aca="false">IF(T$5="A",Inputs_Actuals!T67,IF(Assumptions!T$201&lt;Contract_Register!$T$32,0,S72*(1+Contract_Register!$M$32/2*Assumptions!$F$178)*IF(AND(Assumptions!T$201&gt;Contract_Register!$T$32,MOD(Assumptions!T$201-Contract_Register!$T$32,Assumptions!$C$90)=0),Contract_Register!$S$32,1)))</f>
        <v>34.2729539063819</v>
      </c>
      <c r="U72" s="67" t="n">
        <f aca="false">IF(U$5="A",Inputs_Actuals!U67,IF(Assumptions!U$201&lt;Contract_Register!$T$32,0,T72*(1+Contract_Register!$M$32/2*Assumptions!$F$178)*IF(AND(Assumptions!U$201&gt;Contract_Register!$T$32,MOD(Assumptions!U$201-Contract_Register!$T$32,Assumptions!$C$90)=0),Contract_Register!$S$32,1)))</f>
        <v>34.3072268602883</v>
      </c>
      <c r="V72" s="67" t="n">
        <f aca="false">IF(V$5="A",Inputs_Actuals!V67,IF(Assumptions!V$201&lt;Contract_Register!$T$32,0,U72*(1+Contract_Register!$M$32/2*Assumptions!$F$178)*IF(AND(Assumptions!V$201&gt;Contract_Register!$T$32,MOD(Assumptions!V$201-Contract_Register!$T$32,Assumptions!$C$90)=0),Contract_Register!$S$32,1)))</f>
        <v>34.3415340871485</v>
      </c>
      <c r="W72" s="67" t="n">
        <f aca="false">IF(W$5="A",Inputs_Actuals!W67,IF(Assumptions!W$201&lt;Contract_Register!$T$32,0,V72*(1+Contract_Register!$M$32/2*Assumptions!$F$178)*IF(AND(Assumptions!W$201&gt;Contract_Register!$T$32,MOD(Assumptions!W$201-Contract_Register!$T$32,Assumptions!$C$90)=0),Contract_Register!$S$32,1)))</f>
        <v>34.3758756212357</v>
      </c>
      <c r="X72" s="67" t="n">
        <f aca="false">IF(X$5="A",Inputs_Actuals!X67,IF(Assumptions!X$201&lt;Contract_Register!$T$32,0,W72*(1+Contract_Register!$M$32/2*Assumptions!$F$178)*IF(AND(Assumptions!X$201&gt;Contract_Register!$T$32,MOD(Assumptions!X$201-Contract_Register!$T$32,Assumptions!$C$90)=0),Contract_Register!$S$32,1)))</f>
        <v>34.4102514968569</v>
      </c>
      <c r="Y72" s="67" t="n">
        <f aca="false">IF(Y$5="A",Inputs_Actuals!Y67,IF(Assumptions!Y$201&lt;Contract_Register!$T$32,0,X72*(1+Contract_Register!$M$32/2*Assumptions!$F$178)*IF(AND(Assumptions!Y$201&gt;Contract_Register!$T$32,MOD(Assumptions!Y$201-Contract_Register!$T$32,Assumptions!$C$90)=0),Contract_Register!$S$32,1)))</f>
        <v>34.4446617483538</v>
      </c>
      <c r="Z72" s="67" t="n">
        <f aca="false">IF(Z$5="A",Inputs_Actuals!Z67,IF(Assumptions!Z$201&lt;Contract_Register!$T$32,0,Y72*(1+Contract_Register!$M$32/2*Assumptions!$F$178)*IF(AND(Assumptions!Z$201&gt;Contract_Register!$T$32,MOD(Assumptions!Z$201-Contract_Register!$T$32,Assumptions!$C$90)=0),Contract_Register!$S$32,1)))</f>
        <v>34.4791064101021</v>
      </c>
      <c r="AA72" s="67" t="n">
        <f aca="false">IF(AA$5="A",Inputs_Actuals!AA67,IF(Assumptions!AA$201&lt;Contract_Register!$T$32,0,Z72*(1+Contract_Register!$M$32/2*Assumptions!$F$178)*IF(AND(Assumptions!AA$201&gt;Contract_Register!$T$32,MOD(Assumptions!AA$201-Contract_Register!$T$32,Assumptions!$C$90)=0),Contract_Register!$S$32,1)))</f>
        <v>34.5135855165122</v>
      </c>
      <c r="AB72" s="67" t="n">
        <f aca="false">IF(AB$5="A",Inputs_Actuals!AB67,IF(Assumptions!AB$201&lt;Contract_Register!$T$32,0,AA72*(1+Contract_Register!$M$32/2*Assumptions!$F$178)*IF(AND(Assumptions!AB$201&gt;Contract_Register!$T$32,MOD(Assumptions!AB$201-Contract_Register!$T$32,Assumptions!$C$90)=0),Contract_Register!$S$32,1)))</f>
        <v>34.5480991020287</v>
      </c>
    </row>
    <row r="73" customFormat="false" ht="15" hidden="false" customHeight="false" outlineLevel="0" collapsed="false">
      <c r="A73" s="27" t="s">
        <v>839</v>
      </c>
      <c r="B73" s="63" t="s">
        <v>774</v>
      </c>
      <c r="C73" s="66" t="n">
        <f aca="false">P73</f>
        <v>18.1082432430911</v>
      </c>
      <c r="D73" s="66" t="n">
        <f aca="false">AB73</f>
        <v>18.4368941864462</v>
      </c>
      <c r="E73" s="67" t="n">
        <f aca="false">IF(E$5="A",Inputs_Actuals!E68,IF(Assumptions!E$201&lt;Contract_Register!$T$33,0,Contract_Register!$J$33*(1+Contract_Register!$M$33/2*Assumptions!$F$178)*IF(AND(Assumptions!E$201&gt;Contract_Register!$T$33,MOD(Assumptions!E$201-Contract_Register!$T$33,Assumptions!$C$90)=0),Contract_Register!$S$33,1)))</f>
        <v>18</v>
      </c>
      <c r="F73" s="67" t="n">
        <f aca="false">IF(F$5="A",Inputs_Actuals!F68,IF(Assumptions!F$201&lt;Contract_Register!$T$33,0,E73*(1+Contract_Register!$M$33/2*Assumptions!$F$178)*IF(AND(Assumptions!F$201&gt;Contract_Register!$T$33,MOD(Assumptions!F$201-Contract_Register!$T$33,Assumptions!$C$90)=0),Contract_Register!$S$33,1)))</f>
        <v>18</v>
      </c>
      <c r="G73" s="67" t="n">
        <f aca="false">IF(G$5="A",Inputs_Actuals!G68,IF(Assumptions!G$201&lt;Contract_Register!$T$33,0,F73*(1+Contract_Register!$M$33/2*Assumptions!$F$178)*IF(AND(Assumptions!G$201&gt;Contract_Register!$T$33,MOD(Assumptions!G$201-Contract_Register!$T$33,Assumptions!$C$90)=0),Contract_Register!$S$33,1)))</f>
        <v>18</v>
      </c>
      <c r="H73" s="67" t="n">
        <f aca="false">IF(H$5="A",Inputs_Actuals!H68,IF(Assumptions!H$201&lt;Contract_Register!$T$33,0,G73*(1+Contract_Register!$M$33/2*Assumptions!$F$178)*IF(AND(Assumptions!H$201&gt;Contract_Register!$T$33,MOD(Assumptions!H$201-Contract_Register!$T$33,Assumptions!$C$90)=0),Contract_Register!$S$33,1)))</f>
        <v>18</v>
      </c>
      <c r="I73" s="67" t="n">
        <f aca="false">IF(I$5="A",Inputs_Actuals!I68,IF(Assumptions!I$201&lt;Contract_Register!$T$33,0,H73*(1+Contract_Register!$M$33/2*Assumptions!$F$178)*IF(AND(Assumptions!I$201&gt;Contract_Register!$T$33,MOD(Assumptions!I$201-Contract_Register!$T$33,Assumptions!$C$90)=0),Contract_Register!$S$33,1)))</f>
        <v>18</v>
      </c>
      <c r="J73" s="67" t="n">
        <f aca="false">IF(J$5="A",Inputs_Actuals!J68,IF(Assumptions!J$201&lt;Contract_Register!$T$33,0,I73*(1+Contract_Register!$M$33/2*Assumptions!$F$178)*IF(AND(Assumptions!J$201&gt;Contract_Register!$T$33,MOD(Assumptions!J$201-Contract_Register!$T$33,Assumptions!$C$90)=0),Contract_Register!$S$33,1)))</f>
        <v>18</v>
      </c>
      <c r="K73" s="67" t="n">
        <f aca="false">IF(K$5="A",Inputs_Actuals!K68,IF(Assumptions!K$201&lt;Contract_Register!$T$33,0,J73*(1+Contract_Register!$M$33/2*Assumptions!$F$178)*IF(AND(Assumptions!K$201&gt;Contract_Register!$T$33,MOD(Assumptions!K$201-Contract_Register!$T$33,Assumptions!$C$90)=0),Contract_Register!$S$33,1)))</f>
        <v>18</v>
      </c>
      <c r="L73" s="67" t="n">
        <f aca="false">IF(L$5="A",Inputs_Actuals!L68,IF(Assumptions!L$201&lt;Contract_Register!$T$33,0,K73*(1+Contract_Register!$M$33/2*Assumptions!$F$178)*IF(AND(Assumptions!L$201&gt;Contract_Register!$T$33,MOD(Assumptions!L$201-Contract_Register!$T$33,Assumptions!$C$90)=0),Contract_Register!$S$33,1)))</f>
        <v>18</v>
      </c>
      <c r="M73" s="67" t="n">
        <f aca="false">IF(M$5="A",Inputs_Actuals!M68,IF(Assumptions!M$201&lt;Contract_Register!$T$33,0,L73*(1+Contract_Register!$M$33/2*Assumptions!$F$178)*IF(AND(Assumptions!M$201&gt;Contract_Register!$T$33,MOD(Assumptions!M$201-Contract_Register!$T$33,Assumptions!$C$90)=0),Contract_Register!$S$33,1)))</f>
        <v>18.027</v>
      </c>
      <c r="N73" s="67" t="n">
        <f aca="false">IF(N$5="A",Inputs_Actuals!N68,IF(Assumptions!N$201&lt;Contract_Register!$T$33,0,M73*(1+Contract_Register!$M$33/2*Assumptions!$F$178)*IF(AND(Assumptions!N$201&gt;Contract_Register!$T$33,MOD(Assumptions!N$201-Contract_Register!$T$33,Assumptions!$C$90)=0),Contract_Register!$S$33,1)))</f>
        <v>18.0540405</v>
      </c>
      <c r="O73" s="67" t="n">
        <f aca="false">IF(O$5="A",Inputs_Actuals!O68,IF(Assumptions!O$201&lt;Contract_Register!$T$33,0,N73*(1+Contract_Register!$M$33/2*Assumptions!$F$178)*IF(AND(Assumptions!O$201&gt;Contract_Register!$T$33,MOD(Assumptions!O$201-Contract_Register!$T$33,Assumptions!$C$90)=0),Contract_Register!$S$33,1)))</f>
        <v>18.08112156075</v>
      </c>
      <c r="P73" s="67" t="n">
        <f aca="false">IF(P$5="A",Inputs_Actuals!P68,IF(Assumptions!P$201&lt;Contract_Register!$T$33,0,O73*(1+Contract_Register!$M$33/2*Assumptions!$F$178)*IF(AND(Assumptions!P$201&gt;Contract_Register!$T$33,MOD(Assumptions!P$201-Contract_Register!$T$33,Assumptions!$C$90)=0),Contract_Register!$S$33,1)))</f>
        <v>18.1082432430911</v>
      </c>
      <c r="Q73" s="67" t="n">
        <f aca="false">IF(Q$5="A",Inputs_Actuals!Q68,IF(Assumptions!Q$201&lt;Contract_Register!$T$33,0,P73*(1+Contract_Register!$M$33/2*Assumptions!$F$178)*IF(AND(Assumptions!Q$201&gt;Contract_Register!$T$33,MOD(Assumptions!Q$201-Contract_Register!$T$33,Assumptions!$C$90)=0),Contract_Register!$S$33,1)))</f>
        <v>18.1354056079558</v>
      </c>
      <c r="R73" s="67" t="n">
        <f aca="false">IF(R$5="A",Inputs_Actuals!R68,IF(Assumptions!R$201&lt;Contract_Register!$T$33,0,Q73*(1+Contract_Register!$M$33/2*Assumptions!$F$178)*IF(AND(Assumptions!R$201&gt;Contract_Register!$T$33,MOD(Assumptions!R$201-Contract_Register!$T$33,Assumptions!$C$90)=0),Contract_Register!$S$33,1)))</f>
        <v>18.1626087163677</v>
      </c>
      <c r="S73" s="67" t="n">
        <f aca="false">IF(S$5="A",Inputs_Actuals!S68,IF(Assumptions!S$201&lt;Contract_Register!$T$33,0,R73*(1+Contract_Register!$M$33/2*Assumptions!$F$178)*IF(AND(Assumptions!S$201&gt;Contract_Register!$T$33,MOD(Assumptions!S$201-Contract_Register!$T$33,Assumptions!$C$90)=0),Contract_Register!$S$33,1)))</f>
        <v>18.1898526294423</v>
      </c>
      <c r="T73" s="67" t="n">
        <f aca="false">IF(T$5="A",Inputs_Actuals!T68,IF(Assumptions!T$201&lt;Contract_Register!$T$33,0,S73*(1+Contract_Register!$M$33/2*Assumptions!$F$178)*IF(AND(Assumptions!T$201&gt;Contract_Register!$T$33,MOD(Assumptions!T$201-Contract_Register!$T$33,Assumptions!$C$90)=0),Contract_Register!$S$33,1)))</f>
        <v>18.2171374083864</v>
      </c>
      <c r="U73" s="67" t="n">
        <f aca="false">IF(U$5="A",Inputs_Actuals!U68,IF(Assumptions!U$201&lt;Contract_Register!$T$33,0,T73*(1+Contract_Register!$M$33/2*Assumptions!$F$178)*IF(AND(Assumptions!U$201&gt;Contract_Register!$T$33,MOD(Assumptions!U$201-Contract_Register!$T$33,Assumptions!$C$90)=0),Contract_Register!$S$33,1)))</f>
        <v>18.244463114499</v>
      </c>
      <c r="V73" s="67" t="n">
        <f aca="false">IF(V$5="A",Inputs_Actuals!V68,IF(Assumptions!V$201&lt;Contract_Register!$T$33,0,U73*(1+Contract_Register!$M$33/2*Assumptions!$F$178)*IF(AND(Assumptions!V$201&gt;Contract_Register!$T$33,MOD(Assumptions!V$201-Contract_Register!$T$33,Assumptions!$C$90)=0),Contract_Register!$S$33,1)))</f>
        <v>18.2718298091707</v>
      </c>
      <c r="W73" s="67" t="n">
        <f aca="false">IF(W$5="A",Inputs_Actuals!W68,IF(Assumptions!W$201&lt;Contract_Register!$T$33,0,V73*(1+Contract_Register!$M$33/2*Assumptions!$F$178)*IF(AND(Assumptions!W$201&gt;Contract_Register!$T$33,MOD(Assumptions!W$201-Contract_Register!$T$33,Assumptions!$C$90)=0),Contract_Register!$S$33,1)))</f>
        <v>18.2992375538845</v>
      </c>
      <c r="X73" s="67" t="n">
        <f aca="false">IF(X$5="A",Inputs_Actuals!X68,IF(Assumptions!X$201&lt;Contract_Register!$T$33,0,W73*(1+Contract_Register!$M$33/2*Assumptions!$F$178)*IF(AND(Assumptions!X$201&gt;Contract_Register!$T$33,MOD(Assumptions!X$201-Contract_Register!$T$33,Assumptions!$C$90)=0),Contract_Register!$S$33,1)))</f>
        <v>18.3266864102153</v>
      </c>
      <c r="Y73" s="67" t="n">
        <f aca="false">IF(Y$5="A",Inputs_Actuals!Y68,IF(Assumptions!Y$201&lt;Contract_Register!$T$33,0,X73*(1+Contract_Register!$M$33/2*Assumptions!$F$178)*IF(AND(Assumptions!Y$201&gt;Contract_Register!$T$33,MOD(Assumptions!Y$201-Contract_Register!$T$33,Assumptions!$C$90)=0),Contract_Register!$S$33,1)))</f>
        <v>18.3541764398307</v>
      </c>
      <c r="Z73" s="67" t="n">
        <f aca="false">IF(Z$5="A",Inputs_Actuals!Z68,IF(Assumptions!Z$201&lt;Contract_Register!$T$33,0,Y73*(1+Contract_Register!$M$33/2*Assumptions!$F$178)*IF(AND(Assumptions!Z$201&gt;Contract_Register!$T$33,MOD(Assumptions!Z$201-Contract_Register!$T$33,Assumptions!$C$90)=0),Contract_Register!$S$33,1)))</f>
        <v>18.3817077044904</v>
      </c>
      <c r="AA73" s="67" t="n">
        <f aca="false">IF(AA$5="A",Inputs_Actuals!AA68,IF(Assumptions!AA$201&lt;Contract_Register!$T$33,0,Z73*(1+Contract_Register!$M$33/2*Assumptions!$F$178)*IF(AND(Assumptions!AA$201&gt;Contract_Register!$T$33,MOD(Assumptions!AA$201-Contract_Register!$T$33,Assumptions!$C$90)=0),Contract_Register!$S$33,1)))</f>
        <v>18.4092802660471</v>
      </c>
      <c r="AB73" s="67" t="n">
        <f aca="false">IF(AB$5="A",Inputs_Actuals!AB68,IF(Assumptions!AB$201&lt;Contract_Register!$T$33,0,AA73*(1+Contract_Register!$M$33/2*Assumptions!$F$178)*IF(AND(Assumptions!AB$201&gt;Contract_Register!$T$33,MOD(Assumptions!AB$201-Contract_Register!$T$33,Assumptions!$C$90)=0),Contract_Register!$S$33,1)))</f>
        <v>18.4368941864462</v>
      </c>
    </row>
    <row r="74" customFormat="false" ht="15" hidden="false" customHeight="false" outlineLevel="0" collapsed="false">
      <c r="A74" s="27" t="s">
        <v>840</v>
      </c>
      <c r="B74" s="63" t="s">
        <v>774</v>
      </c>
      <c r="C74" s="66" t="n">
        <f aca="false">P74</f>
        <v>30.0600450150019</v>
      </c>
      <c r="D74" s="66" t="n">
        <f aca="false">AB74</f>
        <v>30.2409021034166</v>
      </c>
      <c r="E74" s="67" t="n">
        <f aca="false">IF(E$5="A",Inputs_Actuals!E69,IF(Assumptions!E$201&lt;Contract_Register!$T$34,0,Contract_Register!$J$34*(1+Contract_Register!$M$34/2*Assumptions!$F$178)*IF(AND(Assumptions!E$201&gt;Contract_Register!$T$34,MOD(Assumptions!E$201-Contract_Register!$T$34,Assumptions!$C$90)=0),Contract_Register!$S$34,1)))</f>
        <v>30</v>
      </c>
      <c r="F74" s="67" t="n">
        <f aca="false">IF(F$5="A",Inputs_Actuals!F69,IF(Assumptions!F$201&lt;Contract_Register!$T$34,0,E74*(1+Contract_Register!$M$34/2*Assumptions!$F$178)*IF(AND(Assumptions!F$201&gt;Contract_Register!$T$34,MOD(Assumptions!F$201-Contract_Register!$T$34,Assumptions!$C$90)=0),Contract_Register!$S$34,1)))</f>
        <v>30</v>
      </c>
      <c r="G74" s="67" t="n">
        <f aca="false">IF(G$5="A",Inputs_Actuals!G69,IF(Assumptions!G$201&lt;Contract_Register!$T$34,0,F74*(1+Contract_Register!$M$34/2*Assumptions!$F$178)*IF(AND(Assumptions!G$201&gt;Contract_Register!$T$34,MOD(Assumptions!G$201-Contract_Register!$T$34,Assumptions!$C$90)=0),Contract_Register!$S$34,1)))</f>
        <v>30</v>
      </c>
      <c r="H74" s="67" t="n">
        <f aca="false">IF(H$5="A",Inputs_Actuals!H69,IF(Assumptions!H$201&lt;Contract_Register!$T$34,0,G74*(1+Contract_Register!$M$34/2*Assumptions!$F$178)*IF(AND(Assumptions!H$201&gt;Contract_Register!$T$34,MOD(Assumptions!H$201-Contract_Register!$T$34,Assumptions!$C$90)=0),Contract_Register!$S$34,1)))</f>
        <v>30</v>
      </c>
      <c r="I74" s="67" t="n">
        <f aca="false">IF(I$5="A",Inputs_Actuals!I69,IF(Assumptions!I$201&lt;Contract_Register!$T$34,0,H74*(1+Contract_Register!$M$34/2*Assumptions!$F$178)*IF(AND(Assumptions!I$201&gt;Contract_Register!$T$34,MOD(Assumptions!I$201-Contract_Register!$T$34,Assumptions!$C$90)=0),Contract_Register!$S$34,1)))</f>
        <v>30</v>
      </c>
      <c r="J74" s="67" t="n">
        <f aca="false">IF(J$5="A",Inputs_Actuals!J69,IF(Assumptions!J$201&lt;Contract_Register!$T$34,0,I74*(1+Contract_Register!$M$34/2*Assumptions!$F$178)*IF(AND(Assumptions!J$201&gt;Contract_Register!$T$34,MOD(Assumptions!J$201-Contract_Register!$T$34,Assumptions!$C$90)=0),Contract_Register!$S$34,1)))</f>
        <v>30</v>
      </c>
      <c r="K74" s="67" t="n">
        <f aca="false">IF(K$5="A",Inputs_Actuals!K69,IF(Assumptions!K$201&lt;Contract_Register!$T$34,0,J74*(1+Contract_Register!$M$34/2*Assumptions!$F$178)*IF(AND(Assumptions!K$201&gt;Contract_Register!$T$34,MOD(Assumptions!K$201-Contract_Register!$T$34,Assumptions!$C$90)=0),Contract_Register!$S$34,1)))</f>
        <v>30</v>
      </c>
      <c r="L74" s="67" t="n">
        <f aca="false">IF(L$5="A",Inputs_Actuals!L69,IF(Assumptions!L$201&lt;Contract_Register!$T$34,0,K74*(1+Contract_Register!$M$34/2*Assumptions!$F$178)*IF(AND(Assumptions!L$201&gt;Contract_Register!$T$34,MOD(Assumptions!L$201-Contract_Register!$T$34,Assumptions!$C$90)=0),Contract_Register!$S$34,1)))</f>
        <v>30</v>
      </c>
      <c r="M74" s="67" t="n">
        <f aca="false">IF(M$5="A",Inputs_Actuals!M69,IF(Assumptions!M$201&lt;Contract_Register!$T$34,0,L74*(1+Contract_Register!$M$34/2*Assumptions!$F$178)*IF(AND(Assumptions!M$201&gt;Contract_Register!$T$34,MOD(Assumptions!M$201-Contract_Register!$T$34,Assumptions!$C$90)=0),Contract_Register!$S$34,1)))</f>
        <v>30.015</v>
      </c>
      <c r="N74" s="67" t="n">
        <f aca="false">IF(N$5="A",Inputs_Actuals!N69,IF(Assumptions!N$201&lt;Contract_Register!$T$34,0,M74*(1+Contract_Register!$M$34/2*Assumptions!$F$178)*IF(AND(Assumptions!N$201&gt;Contract_Register!$T$34,MOD(Assumptions!N$201-Contract_Register!$T$34,Assumptions!$C$90)=0),Contract_Register!$S$34,1)))</f>
        <v>30.0300075</v>
      </c>
      <c r="O74" s="67" t="n">
        <f aca="false">IF(O$5="A",Inputs_Actuals!O69,IF(Assumptions!O$201&lt;Contract_Register!$T$34,0,N74*(1+Contract_Register!$M$34/2*Assumptions!$F$178)*IF(AND(Assumptions!O$201&gt;Contract_Register!$T$34,MOD(Assumptions!O$201-Contract_Register!$T$34,Assumptions!$C$90)=0),Contract_Register!$S$34,1)))</f>
        <v>30.04502250375</v>
      </c>
      <c r="P74" s="67" t="n">
        <f aca="false">IF(P$5="A",Inputs_Actuals!P69,IF(Assumptions!P$201&lt;Contract_Register!$T$34,0,O74*(1+Contract_Register!$M$34/2*Assumptions!$F$178)*IF(AND(Assumptions!P$201&gt;Contract_Register!$T$34,MOD(Assumptions!P$201-Contract_Register!$T$34,Assumptions!$C$90)=0),Contract_Register!$S$34,1)))</f>
        <v>30.0600450150019</v>
      </c>
      <c r="Q74" s="67" t="n">
        <f aca="false">IF(Q$5="A",Inputs_Actuals!Q69,IF(Assumptions!Q$201&lt;Contract_Register!$T$34,0,P74*(1+Contract_Register!$M$34/2*Assumptions!$F$178)*IF(AND(Assumptions!Q$201&gt;Contract_Register!$T$34,MOD(Assumptions!Q$201-Contract_Register!$T$34,Assumptions!$C$90)=0),Contract_Register!$S$34,1)))</f>
        <v>30.0750750375094</v>
      </c>
      <c r="R74" s="67" t="n">
        <f aca="false">IF(R$5="A",Inputs_Actuals!R69,IF(Assumptions!R$201&lt;Contract_Register!$T$34,0,Q74*(1+Contract_Register!$M$34/2*Assumptions!$F$178)*IF(AND(Assumptions!R$201&gt;Contract_Register!$T$34,MOD(Assumptions!R$201-Contract_Register!$T$34,Assumptions!$C$90)=0),Contract_Register!$S$34,1)))</f>
        <v>30.0901125750281</v>
      </c>
      <c r="S74" s="67" t="n">
        <f aca="false">IF(S$5="A",Inputs_Actuals!S69,IF(Assumptions!S$201&lt;Contract_Register!$T$34,0,R74*(1+Contract_Register!$M$34/2*Assumptions!$F$178)*IF(AND(Assumptions!S$201&gt;Contract_Register!$T$34,MOD(Assumptions!S$201-Contract_Register!$T$34,Assumptions!$C$90)=0),Contract_Register!$S$34,1)))</f>
        <v>30.1051576313156</v>
      </c>
      <c r="T74" s="67" t="n">
        <f aca="false">IF(T$5="A",Inputs_Actuals!T69,IF(Assumptions!T$201&lt;Contract_Register!$T$34,0,S74*(1+Contract_Register!$M$34/2*Assumptions!$F$178)*IF(AND(Assumptions!T$201&gt;Contract_Register!$T$34,MOD(Assumptions!T$201-Contract_Register!$T$34,Assumptions!$C$90)=0),Contract_Register!$S$34,1)))</f>
        <v>30.1202102101313</v>
      </c>
      <c r="U74" s="67" t="n">
        <f aca="false">IF(U$5="A",Inputs_Actuals!U69,IF(Assumptions!U$201&lt;Contract_Register!$T$34,0,T74*(1+Contract_Register!$M$34/2*Assumptions!$F$178)*IF(AND(Assumptions!U$201&gt;Contract_Register!$T$34,MOD(Assumptions!U$201-Contract_Register!$T$34,Assumptions!$C$90)=0),Contract_Register!$S$34,1)))</f>
        <v>30.1352703152364</v>
      </c>
      <c r="V74" s="67" t="n">
        <f aca="false">IF(V$5="A",Inputs_Actuals!V69,IF(Assumptions!V$201&lt;Contract_Register!$T$34,0,U74*(1+Contract_Register!$M$34/2*Assumptions!$F$178)*IF(AND(Assumptions!V$201&gt;Contract_Register!$T$34,MOD(Assumptions!V$201-Contract_Register!$T$34,Assumptions!$C$90)=0),Contract_Register!$S$34,1)))</f>
        <v>30.150337950394</v>
      </c>
      <c r="W74" s="67" t="n">
        <f aca="false">IF(W$5="A",Inputs_Actuals!W69,IF(Assumptions!W$201&lt;Contract_Register!$T$34,0,V74*(1+Contract_Register!$M$34/2*Assumptions!$F$178)*IF(AND(Assumptions!W$201&gt;Contract_Register!$T$34,MOD(Assumptions!W$201-Contract_Register!$T$34,Assumptions!$C$90)=0),Contract_Register!$S$34,1)))</f>
        <v>30.1654131193692</v>
      </c>
      <c r="X74" s="67" t="n">
        <f aca="false">IF(X$5="A",Inputs_Actuals!X69,IF(Assumptions!X$201&lt;Contract_Register!$T$34,0,W74*(1+Contract_Register!$M$34/2*Assumptions!$F$178)*IF(AND(Assumptions!X$201&gt;Contract_Register!$T$34,MOD(Assumptions!X$201-Contract_Register!$T$34,Assumptions!$C$90)=0),Contract_Register!$S$34,1)))</f>
        <v>30.1804958259288</v>
      </c>
      <c r="Y74" s="67" t="n">
        <f aca="false">IF(Y$5="A",Inputs_Actuals!Y69,IF(Assumptions!Y$201&lt;Contract_Register!$T$34,0,X74*(1+Contract_Register!$M$34/2*Assumptions!$F$178)*IF(AND(Assumptions!Y$201&gt;Contract_Register!$T$34,MOD(Assumptions!Y$201-Contract_Register!$T$34,Assumptions!$C$90)=0),Contract_Register!$S$34,1)))</f>
        <v>30.1955860738418</v>
      </c>
      <c r="Z74" s="67" t="n">
        <f aca="false">IF(Z$5="A",Inputs_Actuals!Z69,IF(Assumptions!Z$201&lt;Contract_Register!$T$34,0,Y74*(1+Contract_Register!$M$34/2*Assumptions!$F$178)*IF(AND(Assumptions!Z$201&gt;Contract_Register!$T$34,MOD(Assumptions!Z$201-Contract_Register!$T$34,Assumptions!$C$90)=0),Contract_Register!$S$34,1)))</f>
        <v>30.2106838668787</v>
      </c>
      <c r="AA74" s="67" t="n">
        <f aca="false">IF(AA$5="A",Inputs_Actuals!AA69,IF(Assumptions!AA$201&lt;Contract_Register!$T$34,0,Z74*(1+Contract_Register!$M$34/2*Assumptions!$F$178)*IF(AND(Assumptions!AA$201&gt;Contract_Register!$T$34,MOD(Assumptions!AA$201-Contract_Register!$T$34,Assumptions!$C$90)=0),Contract_Register!$S$34,1)))</f>
        <v>30.2257892088122</v>
      </c>
      <c r="AB74" s="67" t="n">
        <f aca="false">IF(AB$5="A",Inputs_Actuals!AB69,IF(Assumptions!AB$201&lt;Contract_Register!$T$34,0,AA74*(1+Contract_Register!$M$34/2*Assumptions!$F$178)*IF(AND(Assumptions!AB$201&gt;Contract_Register!$T$34,MOD(Assumptions!AB$201-Contract_Register!$T$34,Assumptions!$C$90)=0),Contract_Register!$S$34,1)))</f>
        <v>30.2409021034166</v>
      </c>
    </row>
    <row r="75" customFormat="false" ht="15" hidden="false" customHeight="false" outlineLevel="0" collapsed="false">
      <c r="A75" s="27" t="s">
        <v>841</v>
      </c>
      <c r="B75" s="63" t="s">
        <v>774</v>
      </c>
      <c r="C75" s="66" t="n">
        <f aca="false">P75</f>
        <v>31.743407535842</v>
      </c>
      <c r="D75" s="66" t="n">
        <f aca="false">AB75</f>
        <v>31.9343926212079</v>
      </c>
      <c r="E75" s="67" t="n">
        <f aca="false">IF(E$5="A",Inputs_Actuals!E70,IF(Assumptions!E$201&lt;Contract_Register!$T$35,0,Contract_Register!$J$35*(1+Contract_Register!$M$35/2*Assumptions!$F$178)*IF(AND(Assumptions!E$201&gt;Contract_Register!$T$35,MOD(Assumptions!E$201-Contract_Register!$T$35,Assumptions!$C$90)=0),Contract_Register!$S$35,1)))</f>
        <v>36</v>
      </c>
      <c r="F75" s="67" t="n">
        <f aca="false">IF(F$5="A",Inputs_Actuals!F70,IF(Assumptions!F$201&lt;Contract_Register!$T$35,0,E75*(1+Contract_Register!$M$35/2*Assumptions!$F$178)*IF(AND(Assumptions!F$201&gt;Contract_Register!$T$35,MOD(Assumptions!F$201-Contract_Register!$T$35,Assumptions!$C$90)=0),Contract_Register!$S$35,1)))</f>
        <v>36</v>
      </c>
      <c r="G75" s="67" t="n">
        <f aca="false">IF(G$5="A",Inputs_Actuals!G70,IF(Assumptions!G$201&lt;Contract_Register!$T$35,0,F75*(1+Contract_Register!$M$35/2*Assumptions!$F$178)*IF(AND(Assumptions!G$201&gt;Contract_Register!$T$35,MOD(Assumptions!G$201-Contract_Register!$T$35,Assumptions!$C$90)=0),Contract_Register!$S$35,1)))</f>
        <v>36</v>
      </c>
      <c r="H75" s="67" t="n">
        <f aca="false">IF(H$5="A",Inputs_Actuals!H70,IF(Assumptions!H$201&lt;Contract_Register!$T$35,0,G75*(1+Contract_Register!$M$35/2*Assumptions!$F$178)*IF(AND(Assumptions!H$201&gt;Contract_Register!$T$35,MOD(Assumptions!H$201-Contract_Register!$T$35,Assumptions!$C$90)=0),Contract_Register!$S$35,1)))</f>
        <v>36</v>
      </c>
      <c r="I75" s="67" t="n">
        <f aca="false">IF(I$5="A",Inputs_Actuals!I70,IF(Assumptions!I$201&lt;Contract_Register!$T$35,0,H75*(1+Contract_Register!$M$35/2*Assumptions!$F$178)*IF(AND(Assumptions!I$201&gt;Contract_Register!$T$35,MOD(Assumptions!I$201-Contract_Register!$T$35,Assumptions!$C$90)=0),Contract_Register!$S$35,1)))</f>
        <v>36</v>
      </c>
      <c r="J75" s="67" t="n">
        <f aca="false">IF(J$5="A",Inputs_Actuals!J70,IF(Assumptions!J$201&lt;Contract_Register!$T$35,0,I75*(1+Contract_Register!$M$35/2*Assumptions!$F$178)*IF(AND(Assumptions!J$201&gt;Contract_Register!$T$35,MOD(Assumptions!J$201-Contract_Register!$T$35,Assumptions!$C$90)=0),Contract_Register!$S$35,1)))</f>
        <v>36</v>
      </c>
      <c r="K75" s="67" t="n">
        <f aca="false">IF(K$5="A",Inputs_Actuals!K70,IF(Assumptions!K$201&lt;Contract_Register!$T$35,0,J75*(1+Contract_Register!$M$35/2*Assumptions!$F$178)*IF(AND(Assumptions!K$201&gt;Contract_Register!$T$35,MOD(Assumptions!K$201-Contract_Register!$T$35,Assumptions!$C$90)=0),Contract_Register!$S$35,1)))</f>
        <v>36</v>
      </c>
      <c r="L75" s="67" t="n">
        <f aca="false">IF(L$5="A",Inputs_Actuals!L70,IF(Assumptions!L$201&lt;Contract_Register!$T$35,0,K75*(1+Contract_Register!$M$35/2*Assumptions!$F$178)*IF(AND(Assumptions!L$201&gt;Contract_Register!$T$35,MOD(Assumptions!L$201-Contract_Register!$T$35,Assumptions!$C$90)=0),Contract_Register!$S$35,1)))</f>
        <v>36</v>
      </c>
      <c r="M75" s="67" t="n">
        <f aca="false">IF(M$5="A",Inputs_Actuals!M70,IF(Assumptions!M$201&lt;Contract_Register!$T$35,0,L75*(1+Contract_Register!$M$35/2*Assumptions!$F$178)*IF(AND(Assumptions!M$201&gt;Contract_Register!$T$35,MOD(Assumptions!M$201-Contract_Register!$T$35,Assumptions!$C$90)=0),Contract_Register!$S$35,1)))</f>
        <v>36.018</v>
      </c>
      <c r="N75" s="67" t="n">
        <f aca="false">IF(N$5="A",Inputs_Actuals!N70,IF(Assumptions!N$201&lt;Contract_Register!$T$35,0,M75*(1+Contract_Register!$M$35/2*Assumptions!$F$178)*IF(AND(Assumptions!N$201&gt;Contract_Register!$T$35,MOD(Assumptions!N$201-Contract_Register!$T$35,Assumptions!$C$90)=0),Contract_Register!$S$35,1)))</f>
        <v>36.036009</v>
      </c>
      <c r="O75" s="67" t="n">
        <f aca="false">IF(O$5="A",Inputs_Actuals!O70,IF(Assumptions!O$201&lt;Contract_Register!$T$35,0,N75*(1+Contract_Register!$M$35/2*Assumptions!$F$178)*IF(AND(Assumptions!O$201&gt;Contract_Register!$T$35,MOD(Assumptions!O$201-Contract_Register!$T$35,Assumptions!$C$90)=0),Contract_Register!$S$35,1)))</f>
        <v>36.0540270045</v>
      </c>
      <c r="P75" s="67" t="n">
        <f aca="false">IF(P$5="A",Inputs_Actuals!P70,IF(Assumptions!P$201&lt;Contract_Register!$T$35,0,O75*(1+Contract_Register!$M$35/2*Assumptions!$F$178)*IF(AND(Assumptions!P$201&gt;Contract_Register!$T$35,MOD(Assumptions!P$201-Contract_Register!$T$35,Assumptions!$C$90)=0),Contract_Register!$S$35,1)))</f>
        <v>31.743407535842</v>
      </c>
      <c r="Q75" s="67" t="n">
        <f aca="false">IF(Q$5="A",Inputs_Actuals!Q70,IF(Assumptions!Q$201&lt;Contract_Register!$T$35,0,P75*(1+Contract_Register!$M$35/2*Assumptions!$F$178)*IF(AND(Assumptions!Q$201&gt;Contract_Register!$T$35,MOD(Assumptions!Q$201-Contract_Register!$T$35,Assumptions!$C$90)=0),Contract_Register!$S$35,1)))</f>
        <v>31.7592792396099</v>
      </c>
      <c r="R75" s="67" t="n">
        <f aca="false">IF(R$5="A",Inputs_Actuals!R70,IF(Assumptions!R$201&lt;Contract_Register!$T$35,0,Q75*(1+Contract_Register!$M$35/2*Assumptions!$F$178)*IF(AND(Assumptions!R$201&gt;Contract_Register!$T$35,MOD(Assumptions!R$201-Contract_Register!$T$35,Assumptions!$C$90)=0),Contract_Register!$S$35,1)))</f>
        <v>31.7751588792297</v>
      </c>
      <c r="S75" s="67" t="n">
        <f aca="false">IF(S$5="A",Inputs_Actuals!S70,IF(Assumptions!S$201&lt;Contract_Register!$T$35,0,R75*(1+Contract_Register!$M$35/2*Assumptions!$F$178)*IF(AND(Assumptions!S$201&gt;Contract_Register!$T$35,MOD(Assumptions!S$201-Contract_Register!$T$35,Assumptions!$C$90)=0),Contract_Register!$S$35,1)))</f>
        <v>31.7910464586693</v>
      </c>
      <c r="T75" s="67" t="n">
        <f aca="false">IF(T$5="A",Inputs_Actuals!T70,IF(Assumptions!T$201&lt;Contract_Register!$T$35,0,S75*(1+Contract_Register!$M$35/2*Assumptions!$F$178)*IF(AND(Assumptions!T$201&gt;Contract_Register!$T$35,MOD(Assumptions!T$201-Contract_Register!$T$35,Assumptions!$C$90)=0),Contract_Register!$S$35,1)))</f>
        <v>31.8069419818986</v>
      </c>
      <c r="U75" s="67" t="n">
        <f aca="false">IF(U$5="A",Inputs_Actuals!U70,IF(Assumptions!U$201&lt;Contract_Register!$T$35,0,T75*(1+Contract_Register!$M$35/2*Assumptions!$F$178)*IF(AND(Assumptions!U$201&gt;Contract_Register!$T$35,MOD(Assumptions!U$201-Contract_Register!$T$35,Assumptions!$C$90)=0),Contract_Register!$S$35,1)))</f>
        <v>31.8228454528896</v>
      </c>
      <c r="V75" s="67" t="n">
        <f aca="false">IF(V$5="A",Inputs_Actuals!V70,IF(Assumptions!V$201&lt;Contract_Register!$T$35,0,U75*(1+Contract_Register!$M$35/2*Assumptions!$F$178)*IF(AND(Assumptions!V$201&gt;Contract_Register!$T$35,MOD(Assumptions!V$201-Contract_Register!$T$35,Assumptions!$C$90)=0),Contract_Register!$S$35,1)))</f>
        <v>31.838756875616</v>
      </c>
      <c r="W75" s="67" t="n">
        <f aca="false">IF(W$5="A",Inputs_Actuals!W70,IF(Assumptions!W$201&lt;Contract_Register!$T$35,0,V75*(1+Contract_Register!$M$35/2*Assumptions!$F$178)*IF(AND(Assumptions!W$201&gt;Contract_Register!$T$35,MOD(Assumptions!W$201-Contract_Register!$T$35,Assumptions!$C$90)=0),Contract_Register!$S$35,1)))</f>
        <v>31.8546762540538</v>
      </c>
      <c r="X75" s="67" t="n">
        <f aca="false">IF(X$5="A",Inputs_Actuals!X70,IF(Assumptions!X$201&lt;Contract_Register!$T$35,0,W75*(1+Contract_Register!$M$35/2*Assumptions!$F$178)*IF(AND(Assumptions!X$201&gt;Contract_Register!$T$35,MOD(Assumptions!X$201-Contract_Register!$T$35,Assumptions!$C$90)=0),Contract_Register!$S$35,1)))</f>
        <v>31.8706035921809</v>
      </c>
      <c r="Y75" s="67" t="n">
        <f aca="false">IF(Y$5="A",Inputs_Actuals!Y70,IF(Assumptions!Y$201&lt;Contract_Register!$T$35,0,X75*(1+Contract_Register!$M$35/2*Assumptions!$F$178)*IF(AND(Assumptions!Y$201&gt;Contract_Register!$T$35,MOD(Assumptions!Y$201-Contract_Register!$T$35,Assumptions!$C$90)=0),Contract_Register!$S$35,1)))</f>
        <v>31.886538893977</v>
      </c>
      <c r="Z75" s="67" t="n">
        <f aca="false">IF(Z$5="A",Inputs_Actuals!Z70,IF(Assumptions!Z$201&lt;Contract_Register!$T$35,0,Y75*(1+Contract_Register!$M$35/2*Assumptions!$F$178)*IF(AND(Assumptions!Z$201&gt;Contract_Register!$T$35,MOD(Assumptions!Z$201-Contract_Register!$T$35,Assumptions!$C$90)=0),Contract_Register!$S$35,1)))</f>
        <v>31.9024821634239</v>
      </c>
      <c r="AA75" s="67" t="n">
        <f aca="false">IF(AA$5="A",Inputs_Actuals!AA70,IF(Assumptions!AA$201&lt;Contract_Register!$T$35,0,Z75*(1+Contract_Register!$M$35/2*Assumptions!$F$178)*IF(AND(Assumptions!AA$201&gt;Contract_Register!$T$35,MOD(Assumptions!AA$201-Contract_Register!$T$35,Assumptions!$C$90)=0),Contract_Register!$S$35,1)))</f>
        <v>31.9184334045057</v>
      </c>
      <c r="AB75" s="67" t="n">
        <f aca="false">IF(AB$5="A",Inputs_Actuals!AB70,IF(Assumptions!AB$201&lt;Contract_Register!$T$35,0,AA75*(1+Contract_Register!$M$35/2*Assumptions!$F$178)*IF(AND(Assumptions!AB$201&gt;Contract_Register!$T$35,MOD(Assumptions!AB$201-Contract_Register!$T$35,Assumptions!$C$90)=0),Contract_Register!$S$35,1)))</f>
        <v>31.9343926212079</v>
      </c>
    </row>
    <row r="76" customFormat="false" ht="15" hidden="false" customHeight="false" outlineLevel="0" collapsed="false">
      <c r="A76" s="27" t="s">
        <v>842</v>
      </c>
      <c r="B76" s="63" t="s">
        <v>774</v>
      </c>
      <c r="C76" s="66" t="n">
        <f aca="false">P76</f>
        <v>20.08012008002</v>
      </c>
      <c r="D76" s="66" t="n">
        <f aca="false">AB76</f>
        <v>18.8998424499334</v>
      </c>
      <c r="E76" s="67" t="n">
        <f aca="false">IF(E$5="A",Inputs_Actuals!E71,IF(Assumptions!E$201&lt;Contract_Register!$T$36,0,Contract_Register!$J$36*(1+Contract_Register!$M$36/2*Assumptions!$F$178)*IF(AND(Assumptions!E$201&gt;Contract_Register!$T$36,MOD(Assumptions!E$201-Contract_Register!$T$36,Assumptions!$C$90)=0),Contract_Register!$S$36,1)))</f>
        <v>20</v>
      </c>
      <c r="F76" s="67" t="n">
        <f aca="false">IF(F$5="A",Inputs_Actuals!F71,IF(Assumptions!F$201&lt;Contract_Register!$T$36,0,E76*(1+Contract_Register!$M$36/2*Assumptions!$F$178)*IF(AND(Assumptions!F$201&gt;Contract_Register!$T$36,MOD(Assumptions!F$201-Contract_Register!$T$36,Assumptions!$C$90)=0),Contract_Register!$S$36,1)))</f>
        <v>20</v>
      </c>
      <c r="G76" s="67" t="n">
        <f aca="false">IF(G$5="A",Inputs_Actuals!G71,IF(Assumptions!G$201&lt;Contract_Register!$T$36,0,F76*(1+Contract_Register!$M$36/2*Assumptions!$F$178)*IF(AND(Assumptions!G$201&gt;Contract_Register!$T$36,MOD(Assumptions!G$201-Contract_Register!$T$36,Assumptions!$C$90)=0),Contract_Register!$S$36,1)))</f>
        <v>20</v>
      </c>
      <c r="H76" s="67" t="n">
        <f aca="false">IF(H$5="A",Inputs_Actuals!H71,IF(Assumptions!H$201&lt;Contract_Register!$T$36,0,G76*(1+Contract_Register!$M$36/2*Assumptions!$F$178)*IF(AND(Assumptions!H$201&gt;Contract_Register!$T$36,MOD(Assumptions!H$201-Contract_Register!$T$36,Assumptions!$C$90)=0),Contract_Register!$S$36,1)))</f>
        <v>20</v>
      </c>
      <c r="I76" s="67" t="n">
        <f aca="false">IF(I$5="A",Inputs_Actuals!I71,IF(Assumptions!I$201&lt;Contract_Register!$T$36,0,H76*(1+Contract_Register!$M$36/2*Assumptions!$F$178)*IF(AND(Assumptions!I$201&gt;Contract_Register!$T$36,MOD(Assumptions!I$201-Contract_Register!$T$36,Assumptions!$C$90)=0),Contract_Register!$S$36,1)))</f>
        <v>20</v>
      </c>
      <c r="J76" s="67" t="n">
        <f aca="false">IF(J$5="A",Inputs_Actuals!J71,IF(Assumptions!J$201&lt;Contract_Register!$T$36,0,I76*(1+Contract_Register!$M$36/2*Assumptions!$F$178)*IF(AND(Assumptions!J$201&gt;Contract_Register!$T$36,MOD(Assumptions!J$201-Contract_Register!$T$36,Assumptions!$C$90)=0),Contract_Register!$S$36,1)))</f>
        <v>20</v>
      </c>
      <c r="K76" s="67" t="n">
        <f aca="false">IF(K$5="A",Inputs_Actuals!K71,IF(Assumptions!K$201&lt;Contract_Register!$T$36,0,J76*(1+Contract_Register!$M$36/2*Assumptions!$F$178)*IF(AND(Assumptions!K$201&gt;Contract_Register!$T$36,MOD(Assumptions!K$201-Contract_Register!$T$36,Assumptions!$C$90)=0),Contract_Register!$S$36,1)))</f>
        <v>20</v>
      </c>
      <c r="L76" s="67" t="n">
        <f aca="false">IF(L$5="A",Inputs_Actuals!L71,IF(Assumptions!L$201&lt;Contract_Register!$T$36,0,K76*(1+Contract_Register!$M$36/2*Assumptions!$F$178)*IF(AND(Assumptions!L$201&gt;Contract_Register!$T$36,MOD(Assumptions!L$201-Contract_Register!$T$36,Assumptions!$C$90)=0),Contract_Register!$S$36,1)))</f>
        <v>20</v>
      </c>
      <c r="M76" s="67" t="n">
        <f aca="false">IF(M$5="A",Inputs_Actuals!M71,IF(Assumptions!M$201&lt;Contract_Register!$T$36,0,L76*(1+Contract_Register!$M$36/2*Assumptions!$F$178)*IF(AND(Assumptions!M$201&gt;Contract_Register!$T$36,MOD(Assumptions!M$201-Contract_Register!$T$36,Assumptions!$C$90)=0),Contract_Register!$S$36,1)))</f>
        <v>20.02</v>
      </c>
      <c r="N76" s="67" t="n">
        <f aca="false">IF(N$5="A",Inputs_Actuals!N71,IF(Assumptions!N$201&lt;Contract_Register!$T$36,0,M76*(1+Contract_Register!$M$36/2*Assumptions!$F$178)*IF(AND(Assumptions!N$201&gt;Contract_Register!$T$36,MOD(Assumptions!N$201-Contract_Register!$T$36,Assumptions!$C$90)=0),Contract_Register!$S$36,1)))</f>
        <v>20.04002</v>
      </c>
      <c r="O76" s="67" t="n">
        <f aca="false">IF(O$5="A",Inputs_Actuals!O71,IF(Assumptions!O$201&lt;Contract_Register!$T$36,0,N76*(1+Contract_Register!$M$36/2*Assumptions!$F$178)*IF(AND(Assumptions!O$201&gt;Contract_Register!$T$36,MOD(Assumptions!O$201-Contract_Register!$T$36,Assumptions!$C$90)=0),Contract_Register!$S$36,1)))</f>
        <v>20.06006002</v>
      </c>
      <c r="P76" s="67" t="n">
        <f aca="false">IF(P$5="A",Inputs_Actuals!P71,IF(Assumptions!P$201&lt;Contract_Register!$T$36,0,O76*(1+Contract_Register!$M$36/2*Assumptions!$F$178)*IF(AND(Assumptions!P$201&gt;Contract_Register!$T$36,MOD(Assumptions!P$201-Contract_Register!$T$36,Assumptions!$C$90)=0),Contract_Register!$S$36,1)))</f>
        <v>20.08012008002</v>
      </c>
      <c r="Q76" s="67" t="n">
        <f aca="false">IF(Q$5="A",Inputs_Actuals!Q71,IF(Assumptions!Q$201&lt;Contract_Register!$T$36,0,P76*(1+Contract_Register!$M$36/2*Assumptions!$F$178)*IF(AND(Assumptions!Q$201&gt;Contract_Register!$T$36,MOD(Assumptions!Q$201-Contract_Register!$T$36,Assumptions!$C$90)=0),Contract_Register!$S$36,1)))</f>
        <v>20.1002002001</v>
      </c>
      <c r="R76" s="67" t="n">
        <f aca="false">IF(R$5="A",Inputs_Actuals!R71,IF(Assumptions!R$201&lt;Contract_Register!$T$36,0,Q76*(1+Contract_Register!$M$36/2*Assumptions!$F$178)*IF(AND(Assumptions!R$201&gt;Contract_Register!$T$36,MOD(Assumptions!R$201-Contract_Register!$T$36,Assumptions!$C$90)=0),Contract_Register!$S$36,1)))</f>
        <v>20.1203004003001</v>
      </c>
      <c r="S76" s="67" t="n">
        <f aca="false">IF(S$5="A",Inputs_Actuals!S71,IF(Assumptions!S$201&lt;Contract_Register!$T$36,0,R76*(1+Contract_Register!$M$36/2*Assumptions!$F$178)*IF(AND(Assumptions!S$201&gt;Contract_Register!$T$36,MOD(Assumptions!S$201-Contract_Register!$T$36,Assumptions!$C$90)=0),Contract_Register!$S$36,1)))</f>
        <v>20.1404207007004</v>
      </c>
      <c r="T76" s="67" t="n">
        <f aca="false">IF(T$5="A",Inputs_Actuals!T71,IF(Assumptions!T$201&lt;Contract_Register!$T$36,0,S76*(1+Contract_Register!$M$36/2*Assumptions!$F$178)*IF(AND(Assumptions!T$201&gt;Contract_Register!$T$36,MOD(Assumptions!T$201-Contract_Register!$T$36,Assumptions!$C$90)=0),Contract_Register!$S$36,1)))</f>
        <v>20.1605611214011</v>
      </c>
      <c r="U76" s="67" t="n">
        <f aca="false">IF(U$5="A",Inputs_Actuals!U71,IF(Assumptions!U$201&lt;Contract_Register!$T$36,0,T76*(1+Contract_Register!$M$36/2*Assumptions!$F$178)*IF(AND(Assumptions!U$201&gt;Contract_Register!$T$36,MOD(Assumptions!U$201-Contract_Register!$T$36,Assumptions!$C$90)=0),Contract_Register!$S$36,1)))</f>
        <v>20.1807216825225</v>
      </c>
      <c r="V76" s="67" t="n">
        <f aca="false">IF(V$5="A",Inputs_Actuals!V71,IF(Assumptions!V$201&lt;Contract_Register!$T$36,0,U76*(1+Contract_Register!$M$36/2*Assumptions!$F$178)*IF(AND(Assumptions!V$201&gt;Contract_Register!$T$36,MOD(Assumptions!V$201-Contract_Register!$T$36,Assumptions!$C$90)=0),Contract_Register!$S$36,1)))</f>
        <v>20.200902404205</v>
      </c>
      <c r="W76" s="67" t="n">
        <f aca="false">IF(W$5="A",Inputs_Actuals!W71,IF(Assumptions!W$201&lt;Contract_Register!$T$36,0,V76*(1+Contract_Register!$M$36/2*Assumptions!$F$178)*IF(AND(Assumptions!W$201&gt;Contract_Register!$T$36,MOD(Assumptions!W$201-Contract_Register!$T$36,Assumptions!$C$90)=0),Contract_Register!$S$36,1)))</f>
        <v>18.8056260751466</v>
      </c>
      <c r="X76" s="67" t="n">
        <f aca="false">IF(X$5="A",Inputs_Actuals!X71,IF(Assumptions!X$201&lt;Contract_Register!$T$36,0,W76*(1+Contract_Register!$M$36/2*Assumptions!$F$178)*IF(AND(Assumptions!X$201&gt;Contract_Register!$T$36,MOD(Assumptions!X$201-Contract_Register!$T$36,Assumptions!$C$90)=0),Contract_Register!$S$36,1)))</f>
        <v>18.8244317012217</v>
      </c>
      <c r="Y76" s="67" t="n">
        <f aca="false">IF(Y$5="A",Inputs_Actuals!Y71,IF(Assumptions!Y$201&lt;Contract_Register!$T$36,0,X76*(1+Contract_Register!$M$36/2*Assumptions!$F$178)*IF(AND(Assumptions!Y$201&gt;Contract_Register!$T$36,MOD(Assumptions!Y$201-Contract_Register!$T$36,Assumptions!$C$90)=0),Contract_Register!$S$36,1)))</f>
        <v>18.8432561329229</v>
      </c>
      <c r="Z76" s="67" t="n">
        <f aca="false">IF(Z$5="A",Inputs_Actuals!Z71,IF(Assumptions!Z$201&lt;Contract_Register!$T$36,0,Y76*(1+Contract_Register!$M$36/2*Assumptions!$F$178)*IF(AND(Assumptions!Z$201&gt;Contract_Register!$T$36,MOD(Assumptions!Z$201-Contract_Register!$T$36,Assumptions!$C$90)=0),Contract_Register!$S$36,1)))</f>
        <v>18.8620993890559</v>
      </c>
      <c r="AA76" s="67" t="n">
        <f aca="false">IF(AA$5="A",Inputs_Actuals!AA71,IF(Assumptions!AA$201&lt;Contract_Register!$T$36,0,Z76*(1+Contract_Register!$M$36/2*Assumptions!$F$178)*IF(AND(Assumptions!AA$201&gt;Contract_Register!$T$36,MOD(Assumptions!AA$201-Contract_Register!$T$36,Assumptions!$C$90)=0),Contract_Register!$S$36,1)))</f>
        <v>18.8809614884449</v>
      </c>
      <c r="AB76" s="67" t="n">
        <f aca="false">IF(AB$5="A",Inputs_Actuals!AB71,IF(Assumptions!AB$201&lt;Contract_Register!$T$36,0,AA76*(1+Contract_Register!$M$36/2*Assumptions!$F$178)*IF(AND(Assumptions!AB$201&gt;Contract_Register!$T$36,MOD(Assumptions!AB$201-Contract_Register!$T$36,Assumptions!$C$90)=0),Contract_Register!$S$36,1)))</f>
        <v>18.8998424499334</v>
      </c>
    </row>
    <row r="77" customFormat="false" ht="15" hidden="false" customHeight="false" outlineLevel="0" collapsed="false">
      <c r="A77" s="27" t="s">
        <v>843</v>
      </c>
      <c r="B77" s="63" t="s">
        <v>774</v>
      </c>
      <c r="C77" s="66" t="n">
        <f aca="false">P77</f>
        <v>29.232696928464</v>
      </c>
      <c r="D77" s="66" t="n">
        <f aca="false">AB77</f>
        <v>29.9420507685484</v>
      </c>
      <c r="E77" s="67" t="n">
        <f aca="false">IF(E$5="A",Inputs_Actuals!E72,IF(Assumptions!E$201&lt;Contract_Register!$T$37,0,0*(1+Contract_Register!$M$37/2*Assumptions!$F$178)*IF(AND(Assumptions!E$201&gt;Contract_Register!$T$37,MOD(Assumptions!E$201-Contract_Register!$T$37,Assumptions!$C$90)=0),Contract_Register!$S$37,1)))</f>
        <v>0</v>
      </c>
      <c r="F77" s="67" t="n">
        <f aca="false">IF(F$5="A",Inputs_Actuals!F72,IF(Assumptions!F$201&lt;Contract_Register!$T$37,0,E77*(1+Contract_Register!$M$37/2*Assumptions!$F$178)*IF(AND(Assumptions!F$201&gt;Contract_Register!$T$37,MOD(Assumptions!F$201-Contract_Register!$T$37,Assumptions!$C$90)=0),Contract_Register!$S$37,1)))</f>
        <v>0</v>
      </c>
      <c r="G77" s="67" t="n">
        <f aca="false">IF(G$5="A",Inputs_Actuals!G72,IF(Assumptions!G$201&lt;Contract_Register!$T$37,0,F77*(1+Contract_Register!$M$37/2*Assumptions!$F$178)*IF(AND(Assumptions!G$201&gt;Contract_Register!$T$37,MOD(Assumptions!G$201-Contract_Register!$T$37,Assumptions!$C$90)=0),Contract_Register!$S$37,1)))</f>
        <v>28</v>
      </c>
      <c r="H77" s="67" t="n">
        <f aca="false">IF(H$5="A",Inputs_Actuals!H72,IF(Assumptions!H$201&lt;Contract_Register!$T$37,0,G77*(1+Contract_Register!$M$37/2*Assumptions!$F$178)*IF(AND(Assumptions!H$201&gt;Contract_Register!$T$37,MOD(Assumptions!H$201-Contract_Register!$T$37,Assumptions!$C$90)=0),Contract_Register!$S$37,1)))</f>
        <v>28</v>
      </c>
      <c r="I77" s="67" t="n">
        <f aca="false">IF(I$5="A",Inputs_Actuals!I72,IF(Assumptions!I$201&lt;Contract_Register!$T$37,0,H77*(1+Contract_Register!$M$37/2*Assumptions!$F$178)*IF(AND(Assumptions!I$201&gt;Contract_Register!$T$37,MOD(Assumptions!I$201-Contract_Register!$T$37,Assumptions!$C$90)=0),Contract_Register!$S$37,1)))</f>
        <v>28</v>
      </c>
      <c r="J77" s="67" t="n">
        <f aca="false">IF(J$5="A",Inputs_Actuals!J72,IF(Assumptions!J$201&lt;Contract_Register!$T$37,0,I77*(1+Contract_Register!$M$37/2*Assumptions!$F$178)*IF(AND(Assumptions!J$201&gt;Contract_Register!$T$37,MOD(Assumptions!J$201-Contract_Register!$T$37,Assumptions!$C$90)=0),Contract_Register!$S$37,1)))</f>
        <v>28</v>
      </c>
      <c r="K77" s="67" t="n">
        <f aca="false">IF(K$5="A",Inputs_Actuals!K72,IF(Assumptions!K$201&lt;Contract_Register!$T$37,0,J77*(1+Contract_Register!$M$37/2*Assumptions!$F$178)*IF(AND(Assumptions!K$201&gt;Contract_Register!$T$37,MOD(Assumptions!K$201-Contract_Register!$T$37,Assumptions!$C$90)=0),Contract_Register!$S$37,1)))</f>
        <v>28</v>
      </c>
      <c r="L77" s="67" t="n">
        <f aca="false">IF(L$5="A",Inputs_Actuals!L72,IF(Assumptions!L$201&lt;Contract_Register!$T$37,0,K77*(1+Contract_Register!$M$37/2*Assumptions!$F$178)*IF(AND(Assumptions!L$201&gt;Contract_Register!$T$37,MOD(Assumptions!L$201-Contract_Register!$T$37,Assumptions!$C$90)=0),Contract_Register!$S$37,1)))</f>
        <v>29</v>
      </c>
      <c r="M77" s="67" t="n">
        <f aca="false">IF(M$5="A",Inputs_Actuals!M72,IF(Assumptions!M$201&lt;Contract_Register!$T$37,0,L77*(1+Contract_Register!$M$37/2*Assumptions!$F$178)*IF(AND(Assumptions!M$201&gt;Contract_Register!$T$37,MOD(Assumptions!M$201-Contract_Register!$T$37,Assumptions!$C$90)=0),Contract_Register!$S$37,1)))</f>
        <v>29.058</v>
      </c>
      <c r="N77" s="67" t="n">
        <f aca="false">IF(N$5="A",Inputs_Actuals!N72,IF(Assumptions!N$201&lt;Contract_Register!$T$37,0,M77*(1+Contract_Register!$M$37/2*Assumptions!$F$178)*IF(AND(Assumptions!N$201&gt;Contract_Register!$T$37,MOD(Assumptions!N$201-Contract_Register!$T$37,Assumptions!$C$90)=0),Contract_Register!$S$37,1)))</f>
        <v>29.116116</v>
      </c>
      <c r="O77" s="67" t="n">
        <f aca="false">IF(O$5="A",Inputs_Actuals!O72,IF(Assumptions!O$201&lt;Contract_Register!$T$37,0,N77*(1+Contract_Register!$M$37/2*Assumptions!$F$178)*IF(AND(Assumptions!O$201&gt;Contract_Register!$T$37,MOD(Assumptions!O$201-Contract_Register!$T$37,Assumptions!$C$90)=0),Contract_Register!$S$37,1)))</f>
        <v>29.174348232</v>
      </c>
      <c r="P77" s="67" t="n">
        <f aca="false">IF(P$5="A",Inputs_Actuals!P72,IF(Assumptions!P$201&lt;Contract_Register!$T$37,0,O77*(1+Contract_Register!$M$37/2*Assumptions!$F$178)*IF(AND(Assumptions!P$201&gt;Contract_Register!$T$37,MOD(Assumptions!P$201-Contract_Register!$T$37,Assumptions!$C$90)=0),Contract_Register!$S$37,1)))</f>
        <v>29.232696928464</v>
      </c>
      <c r="Q77" s="67" t="n">
        <f aca="false">IF(Q$5="A",Inputs_Actuals!Q72,IF(Assumptions!Q$201&lt;Contract_Register!$T$37,0,P77*(1+Contract_Register!$M$37/2*Assumptions!$F$178)*IF(AND(Assumptions!Q$201&gt;Contract_Register!$T$37,MOD(Assumptions!Q$201-Contract_Register!$T$37,Assumptions!$C$90)=0),Contract_Register!$S$37,1)))</f>
        <v>29.2911623223209</v>
      </c>
      <c r="R77" s="67" t="n">
        <f aca="false">IF(R$5="A",Inputs_Actuals!R72,IF(Assumptions!R$201&lt;Contract_Register!$T$37,0,Q77*(1+Contract_Register!$M$37/2*Assumptions!$F$178)*IF(AND(Assumptions!R$201&gt;Contract_Register!$T$37,MOD(Assumptions!R$201-Contract_Register!$T$37,Assumptions!$C$90)=0),Contract_Register!$S$37,1)))</f>
        <v>29.3497446469656</v>
      </c>
      <c r="S77" s="67" t="n">
        <f aca="false">IF(S$5="A",Inputs_Actuals!S72,IF(Assumptions!S$201&lt;Contract_Register!$T$37,0,R77*(1+Contract_Register!$M$37/2*Assumptions!$F$178)*IF(AND(Assumptions!S$201&gt;Contract_Register!$T$37,MOD(Assumptions!S$201-Contract_Register!$T$37,Assumptions!$C$90)=0),Contract_Register!$S$37,1)))</f>
        <v>29.4084441362595</v>
      </c>
      <c r="T77" s="67" t="n">
        <f aca="false">IF(T$5="A",Inputs_Actuals!T72,IF(Assumptions!T$201&lt;Contract_Register!$T$37,0,S77*(1+Contract_Register!$M$37/2*Assumptions!$F$178)*IF(AND(Assumptions!T$201&gt;Contract_Register!$T$37,MOD(Assumptions!T$201-Contract_Register!$T$37,Assumptions!$C$90)=0),Contract_Register!$S$37,1)))</f>
        <v>29.467261024532</v>
      </c>
      <c r="U77" s="67" t="n">
        <f aca="false">IF(U$5="A",Inputs_Actuals!U72,IF(Assumptions!U$201&lt;Contract_Register!$T$37,0,T77*(1+Contract_Register!$M$37/2*Assumptions!$F$178)*IF(AND(Assumptions!U$201&gt;Contract_Register!$T$37,MOD(Assumptions!U$201-Contract_Register!$T$37,Assumptions!$C$90)=0),Contract_Register!$S$37,1)))</f>
        <v>29.5261955465811</v>
      </c>
      <c r="V77" s="67" t="n">
        <f aca="false">IF(V$5="A",Inputs_Actuals!V72,IF(Assumptions!V$201&lt;Contract_Register!$T$37,0,U77*(1+Contract_Register!$M$37/2*Assumptions!$F$178)*IF(AND(Assumptions!V$201&gt;Contract_Register!$T$37,MOD(Assumptions!V$201-Contract_Register!$T$37,Assumptions!$C$90)=0),Contract_Register!$S$37,1)))</f>
        <v>29.5852479376743</v>
      </c>
      <c r="W77" s="67" t="n">
        <f aca="false">IF(W$5="A",Inputs_Actuals!W72,IF(Assumptions!W$201&lt;Contract_Register!$T$37,0,V77*(1+Contract_Register!$M$37/2*Assumptions!$F$178)*IF(AND(Assumptions!W$201&gt;Contract_Register!$T$37,MOD(Assumptions!W$201-Contract_Register!$T$37,Assumptions!$C$90)=0),Contract_Register!$S$37,1)))</f>
        <v>29.6444184335496</v>
      </c>
      <c r="X77" s="67" t="n">
        <f aca="false">IF(X$5="A",Inputs_Actuals!X72,IF(Assumptions!X$201&lt;Contract_Register!$T$37,0,W77*(1+Contract_Register!$M$37/2*Assumptions!$F$178)*IF(AND(Assumptions!X$201&gt;Contract_Register!$T$37,MOD(Assumptions!X$201-Contract_Register!$T$37,Assumptions!$C$90)=0),Contract_Register!$S$37,1)))</f>
        <v>29.7037072704167</v>
      </c>
      <c r="Y77" s="67" t="n">
        <f aca="false">IF(Y$5="A",Inputs_Actuals!Y72,IF(Assumptions!Y$201&lt;Contract_Register!$T$37,0,X77*(1+Contract_Register!$M$37/2*Assumptions!$F$178)*IF(AND(Assumptions!Y$201&gt;Contract_Register!$T$37,MOD(Assumptions!Y$201-Contract_Register!$T$37,Assumptions!$C$90)=0),Contract_Register!$S$37,1)))</f>
        <v>29.7631146849575</v>
      </c>
      <c r="Z77" s="67" t="n">
        <f aca="false">IF(Z$5="A",Inputs_Actuals!Z72,IF(Assumptions!Z$201&lt;Contract_Register!$T$37,0,Y77*(1+Contract_Register!$M$37/2*Assumptions!$F$178)*IF(AND(Assumptions!Z$201&gt;Contract_Register!$T$37,MOD(Assumptions!Z$201-Contract_Register!$T$37,Assumptions!$C$90)=0),Contract_Register!$S$37,1)))</f>
        <v>29.8226409143274</v>
      </c>
      <c r="AA77" s="67" t="n">
        <f aca="false">IF(AA$5="A",Inputs_Actuals!AA72,IF(Assumptions!AA$201&lt;Contract_Register!$T$37,0,Z77*(1+Contract_Register!$M$37/2*Assumptions!$F$178)*IF(AND(Assumptions!AA$201&gt;Contract_Register!$T$37,MOD(Assumptions!AA$201-Contract_Register!$T$37,Assumptions!$C$90)=0),Contract_Register!$S$37,1)))</f>
        <v>29.8822861961561</v>
      </c>
      <c r="AB77" s="67" t="n">
        <f aca="false">IF(AB$5="A",Inputs_Actuals!AB72,IF(Assumptions!AB$201&lt;Contract_Register!$T$37,0,AA77*(1+Contract_Register!$M$37/2*Assumptions!$F$178)*IF(AND(Assumptions!AB$201&gt;Contract_Register!$T$37,MOD(Assumptions!AB$201-Contract_Register!$T$37,Assumptions!$C$90)=0),Contract_Register!$S$37,1)))</f>
        <v>29.9420507685484</v>
      </c>
    </row>
    <row r="78" customFormat="false" ht="15" hidden="false" customHeight="false" outlineLevel="0" collapsed="false">
      <c r="A78" s="27" t="s">
        <v>844</v>
      </c>
      <c r="B78" s="63" t="s">
        <v>774</v>
      </c>
      <c r="C78" s="66" t="n">
        <f aca="false">P78</f>
        <v>20.16048064032</v>
      </c>
      <c r="D78" s="66" t="n">
        <f aca="false">AB78</f>
        <v>20.6496901852058</v>
      </c>
      <c r="E78" s="67" t="n">
        <f aca="false">IF(E$5="A",Inputs_Actuals!E73,IF(Assumptions!E$201&lt;Contract_Register!$T$38,0,0*(1+Contract_Register!$M$38/2*Assumptions!$F$178)*IF(AND(Assumptions!E$201&gt;Contract_Register!$T$38,MOD(Assumptions!E$201-Contract_Register!$T$38,Assumptions!$C$90)=0),Contract_Register!$S$38,1)))</f>
        <v>0</v>
      </c>
      <c r="F78" s="67" t="n">
        <f aca="false">IF(F$5="A",Inputs_Actuals!F73,IF(Assumptions!F$201&lt;Contract_Register!$T$38,0,E78*(1+Contract_Register!$M$38/2*Assumptions!$F$178)*IF(AND(Assumptions!F$201&gt;Contract_Register!$T$38,MOD(Assumptions!F$201-Contract_Register!$T$38,Assumptions!$C$90)=0),Contract_Register!$S$38,1)))</f>
        <v>0</v>
      </c>
      <c r="G78" s="67" t="n">
        <f aca="false">IF(G$5="A",Inputs_Actuals!G73,IF(Assumptions!G$201&lt;Contract_Register!$T$38,0,F78*(1+Contract_Register!$M$38/2*Assumptions!$F$178)*IF(AND(Assumptions!G$201&gt;Contract_Register!$T$38,MOD(Assumptions!G$201-Contract_Register!$T$38,Assumptions!$C$90)=0),Contract_Register!$S$38,1)))</f>
        <v>0</v>
      </c>
      <c r="H78" s="67" t="n">
        <f aca="false">IF(H$5="A",Inputs_Actuals!H73,IF(Assumptions!H$201&lt;Contract_Register!$T$38,0,G78*(1+Contract_Register!$M$38/2*Assumptions!$F$178)*IF(AND(Assumptions!H$201&gt;Contract_Register!$T$38,MOD(Assumptions!H$201-Contract_Register!$T$38,Assumptions!$C$90)=0),Contract_Register!$S$38,1)))</f>
        <v>0</v>
      </c>
      <c r="I78" s="67" t="n">
        <f aca="false">IF(I$5="A",Inputs_Actuals!I73,IF(Assumptions!I$201&lt;Contract_Register!$T$38,0,H78*(1+Contract_Register!$M$38/2*Assumptions!$F$178)*IF(AND(Assumptions!I$201&gt;Contract_Register!$T$38,MOD(Assumptions!I$201-Contract_Register!$T$38,Assumptions!$C$90)=0),Contract_Register!$S$38,1)))</f>
        <v>20</v>
      </c>
      <c r="J78" s="67" t="n">
        <f aca="false">IF(J$5="A",Inputs_Actuals!J73,IF(Assumptions!J$201&lt;Contract_Register!$T$38,0,I78*(1+Contract_Register!$M$38/2*Assumptions!$F$178)*IF(AND(Assumptions!J$201&gt;Contract_Register!$T$38,MOD(Assumptions!J$201-Contract_Register!$T$38,Assumptions!$C$90)=0),Contract_Register!$S$38,1)))</f>
        <v>20</v>
      </c>
      <c r="K78" s="67" t="n">
        <f aca="false">IF(K$5="A",Inputs_Actuals!K73,IF(Assumptions!K$201&lt;Contract_Register!$T$38,0,J78*(1+Contract_Register!$M$38/2*Assumptions!$F$178)*IF(AND(Assumptions!K$201&gt;Contract_Register!$T$38,MOD(Assumptions!K$201-Contract_Register!$T$38,Assumptions!$C$90)=0),Contract_Register!$S$38,1)))</f>
        <v>20</v>
      </c>
      <c r="L78" s="67" t="n">
        <f aca="false">IF(L$5="A",Inputs_Actuals!L73,IF(Assumptions!L$201&lt;Contract_Register!$T$38,0,K78*(1+Contract_Register!$M$38/2*Assumptions!$F$178)*IF(AND(Assumptions!L$201&gt;Contract_Register!$T$38,MOD(Assumptions!L$201-Contract_Register!$T$38,Assumptions!$C$90)=0),Contract_Register!$S$38,1)))</f>
        <v>20</v>
      </c>
      <c r="M78" s="67" t="n">
        <f aca="false">IF(M$5="A",Inputs_Actuals!M73,IF(Assumptions!M$201&lt;Contract_Register!$T$38,0,L78*(1+Contract_Register!$M$38/2*Assumptions!$F$178)*IF(AND(Assumptions!M$201&gt;Contract_Register!$T$38,MOD(Assumptions!M$201-Contract_Register!$T$38,Assumptions!$C$90)=0),Contract_Register!$S$38,1)))</f>
        <v>20.04</v>
      </c>
      <c r="N78" s="67" t="n">
        <f aca="false">IF(N$5="A",Inputs_Actuals!N73,IF(Assumptions!N$201&lt;Contract_Register!$T$38,0,M78*(1+Contract_Register!$M$38/2*Assumptions!$F$178)*IF(AND(Assumptions!N$201&gt;Contract_Register!$T$38,MOD(Assumptions!N$201-Contract_Register!$T$38,Assumptions!$C$90)=0),Contract_Register!$S$38,1)))</f>
        <v>20.08008</v>
      </c>
      <c r="O78" s="67" t="n">
        <f aca="false">IF(O$5="A",Inputs_Actuals!O73,IF(Assumptions!O$201&lt;Contract_Register!$T$38,0,N78*(1+Contract_Register!$M$38/2*Assumptions!$F$178)*IF(AND(Assumptions!O$201&gt;Contract_Register!$T$38,MOD(Assumptions!O$201-Contract_Register!$T$38,Assumptions!$C$90)=0),Contract_Register!$S$38,1)))</f>
        <v>20.12024016</v>
      </c>
      <c r="P78" s="67" t="n">
        <f aca="false">IF(P$5="A",Inputs_Actuals!P73,IF(Assumptions!P$201&lt;Contract_Register!$T$38,0,O78*(1+Contract_Register!$M$38/2*Assumptions!$F$178)*IF(AND(Assumptions!P$201&gt;Contract_Register!$T$38,MOD(Assumptions!P$201-Contract_Register!$T$38,Assumptions!$C$90)=0),Contract_Register!$S$38,1)))</f>
        <v>20.16048064032</v>
      </c>
      <c r="Q78" s="67" t="n">
        <f aca="false">IF(Q$5="A",Inputs_Actuals!Q73,IF(Assumptions!Q$201&lt;Contract_Register!$T$38,0,P78*(1+Contract_Register!$M$38/2*Assumptions!$F$178)*IF(AND(Assumptions!Q$201&gt;Contract_Register!$T$38,MOD(Assumptions!Q$201-Contract_Register!$T$38,Assumptions!$C$90)=0),Contract_Register!$S$38,1)))</f>
        <v>20.2008016016006</v>
      </c>
      <c r="R78" s="67" t="n">
        <f aca="false">IF(R$5="A",Inputs_Actuals!R73,IF(Assumptions!R$201&lt;Contract_Register!$T$38,0,Q78*(1+Contract_Register!$M$38/2*Assumptions!$F$178)*IF(AND(Assumptions!R$201&gt;Contract_Register!$T$38,MOD(Assumptions!R$201-Contract_Register!$T$38,Assumptions!$C$90)=0),Contract_Register!$S$38,1)))</f>
        <v>20.2412032048038</v>
      </c>
      <c r="S78" s="67" t="n">
        <f aca="false">IF(S$5="A",Inputs_Actuals!S73,IF(Assumptions!S$201&lt;Contract_Register!$T$38,0,R78*(1+Contract_Register!$M$38/2*Assumptions!$F$178)*IF(AND(Assumptions!S$201&gt;Contract_Register!$T$38,MOD(Assumptions!S$201-Contract_Register!$T$38,Assumptions!$C$90)=0),Contract_Register!$S$38,1)))</f>
        <v>20.2816856112134</v>
      </c>
      <c r="T78" s="67" t="n">
        <f aca="false">IF(T$5="A",Inputs_Actuals!T73,IF(Assumptions!T$201&lt;Contract_Register!$T$38,0,S78*(1+Contract_Register!$M$38/2*Assumptions!$F$178)*IF(AND(Assumptions!T$201&gt;Contract_Register!$T$38,MOD(Assumptions!T$201-Contract_Register!$T$38,Assumptions!$C$90)=0),Contract_Register!$S$38,1)))</f>
        <v>20.3222489824359</v>
      </c>
      <c r="U78" s="67" t="n">
        <f aca="false">IF(U$5="A",Inputs_Actuals!U73,IF(Assumptions!U$201&lt;Contract_Register!$T$38,0,T78*(1+Contract_Register!$M$38/2*Assumptions!$F$178)*IF(AND(Assumptions!U$201&gt;Contract_Register!$T$38,MOD(Assumptions!U$201-Contract_Register!$T$38,Assumptions!$C$90)=0),Contract_Register!$S$38,1)))</f>
        <v>20.3628934804007</v>
      </c>
      <c r="V78" s="67" t="n">
        <f aca="false">IF(V$5="A",Inputs_Actuals!V73,IF(Assumptions!V$201&lt;Contract_Register!$T$38,0,U78*(1+Contract_Register!$M$38/2*Assumptions!$F$178)*IF(AND(Assumptions!V$201&gt;Contract_Register!$T$38,MOD(Assumptions!V$201-Contract_Register!$T$38,Assumptions!$C$90)=0),Contract_Register!$S$38,1)))</f>
        <v>20.4036192673616</v>
      </c>
      <c r="W78" s="67" t="n">
        <f aca="false">IF(W$5="A",Inputs_Actuals!W73,IF(Assumptions!W$201&lt;Contract_Register!$T$38,0,V78*(1+Contract_Register!$M$38/2*Assumptions!$F$178)*IF(AND(Assumptions!W$201&gt;Contract_Register!$T$38,MOD(Assumptions!W$201-Contract_Register!$T$38,Assumptions!$C$90)=0),Contract_Register!$S$38,1)))</f>
        <v>20.4444265058963</v>
      </c>
      <c r="X78" s="67" t="n">
        <f aca="false">IF(X$5="A",Inputs_Actuals!X73,IF(Assumptions!X$201&lt;Contract_Register!$T$38,0,W78*(1+Contract_Register!$M$38/2*Assumptions!$F$178)*IF(AND(Assumptions!X$201&gt;Contract_Register!$T$38,MOD(Assumptions!X$201-Contract_Register!$T$38,Assumptions!$C$90)=0),Contract_Register!$S$38,1)))</f>
        <v>20.4853153589081</v>
      </c>
      <c r="Y78" s="67" t="n">
        <f aca="false">IF(Y$5="A",Inputs_Actuals!Y73,IF(Assumptions!Y$201&lt;Contract_Register!$T$38,0,X78*(1+Contract_Register!$M$38/2*Assumptions!$F$178)*IF(AND(Assumptions!Y$201&gt;Contract_Register!$T$38,MOD(Assumptions!Y$201-Contract_Register!$T$38,Assumptions!$C$90)=0),Contract_Register!$S$38,1)))</f>
        <v>20.5262859896259</v>
      </c>
      <c r="Z78" s="67" t="n">
        <f aca="false">IF(Z$5="A",Inputs_Actuals!Z73,IF(Assumptions!Z$201&lt;Contract_Register!$T$38,0,Y78*(1+Contract_Register!$M$38/2*Assumptions!$F$178)*IF(AND(Assumptions!Z$201&gt;Contract_Register!$T$38,MOD(Assumptions!Z$201-Contract_Register!$T$38,Assumptions!$C$90)=0),Contract_Register!$S$38,1)))</f>
        <v>20.5673385616051</v>
      </c>
      <c r="AA78" s="67" t="n">
        <f aca="false">IF(AA$5="A",Inputs_Actuals!AA73,IF(Assumptions!AA$201&lt;Contract_Register!$T$38,0,Z78*(1+Contract_Register!$M$38/2*Assumptions!$F$178)*IF(AND(Assumptions!AA$201&gt;Contract_Register!$T$38,MOD(Assumptions!AA$201-Contract_Register!$T$38,Assumptions!$C$90)=0),Contract_Register!$S$38,1)))</f>
        <v>20.6084732387283</v>
      </c>
      <c r="AB78" s="67" t="n">
        <f aca="false">IF(AB$5="A",Inputs_Actuals!AB73,IF(Assumptions!AB$201&lt;Contract_Register!$T$38,0,AA78*(1+Contract_Register!$M$38/2*Assumptions!$F$178)*IF(AND(Assumptions!AB$201&gt;Contract_Register!$T$38,MOD(Assumptions!AB$201-Contract_Register!$T$38,Assumptions!$C$90)=0),Contract_Register!$S$38,1)))</f>
        <v>20.6496901852058</v>
      </c>
    </row>
    <row r="79" customFormat="false" ht="15" hidden="false" customHeight="false" outlineLevel="0" collapsed="false">
      <c r="A79" s="27" t="s">
        <v>845</v>
      </c>
      <c r="B79" s="63" t="s">
        <v>774</v>
      </c>
      <c r="C79" s="66" t="n">
        <f aca="false">P79</f>
        <v>33.1984459456671</v>
      </c>
      <c r="D79" s="66" t="n">
        <f aca="false">AB79</f>
        <v>33.8009726751514</v>
      </c>
      <c r="E79" s="67" t="n">
        <f aca="false">IF(E$5="A",Inputs_Actuals!E74,IF(Assumptions!E$201&lt;Contract_Register!$T$39,0,0*(1+Contract_Register!$M$39/2*Assumptions!$F$178)*IF(AND(Assumptions!E$201&gt;Contract_Register!$T$39,MOD(Assumptions!E$201-Contract_Register!$T$39,Assumptions!$C$90)=0),Contract_Register!$S$39,1)))</f>
        <v>0</v>
      </c>
      <c r="F79" s="67" t="n">
        <f aca="false">IF(F$5="A",Inputs_Actuals!F74,IF(Assumptions!F$201&lt;Contract_Register!$T$39,0,E79*(1+Contract_Register!$M$39/2*Assumptions!$F$178)*IF(AND(Assumptions!F$201&gt;Contract_Register!$T$39,MOD(Assumptions!F$201-Contract_Register!$T$39,Assumptions!$C$90)=0),Contract_Register!$S$39,1)))</f>
        <v>0</v>
      </c>
      <c r="G79" s="67" t="n">
        <f aca="false">IF(G$5="A",Inputs_Actuals!G74,IF(Assumptions!G$201&lt;Contract_Register!$T$39,0,F79*(1+Contract_Register!$M$39/2*Assumptions!$F$178)*IF(AND(Assumptions!G$201&gt;Contract_Register!$T$39,MOD(Assumptions!G$201-Contract_Register!$T$39,Assumptions!$C$90)=0),Contract_Register!$S$39,1)))</f>
        <v>0</v>
      </c>
      <c r="H79" s="67" t="n">
        <f aca="false">IF(H$5="A",Inputs_Actuals!H74,IF(Assumptions!H$201&lt;Contract_Register!$T$39,0,G79*(1+Contract_Register!$M$39/2*Assumptions!$F$178)*IF(AND(Assumptions!H$201&gt;Contract_Register!$T$39,MOD(Assumptions!H$201-Contract_Register!$T$39,Assumptions!$C$90)=0),Contract_Register!$S$39,1)))</f>
        <v>0</v>
      </c>
      <c r="I79" s="67" t="n">
        <f aca="false">IF(I$5="A",Inputs_Actuals!I74,IF(Assumptions!I$201&lt;Contract_Register!$T$39,0,H79*(1+Contract_Register!$M$39/2*Assumptions!$F$178)*IF(AND(Assumptions!I$201&gt;Contract_Register!$T$39,MOD(Assumptions!I$201-Contract_Register!$T$39,Assumptions!$C$90)=0),Contract_Register!$S$39,1)))</f>
        <v>0</v>
      </c>
      <c r="J79" s="67" t="n">
        <f aca="false">IF(J$5="A",Inputs_Actuals!J74,IF(Assumptions!J$201&lt;Contract_Register!$T$39,0,I79*(1+Contract_Register!$M$39/2*Assumptions!$F$178)*IF(AND(Assumptions!J$201&gt;Contract_Register!$T$39,MOD(Assumptions!J$201-Contract_Register!$T$39,Assumptions!$C$90)=0),Contract_Register!$S$39,1)))</f>
        <v>0</v>
      </c>
      <c r="K79" s="67" t="n">
        <f aca="false">IF(K$5="A",Inputs_Actuals!K74,IF(Assumptions!K$201&lt;Contract_Register!$T$39,0,J79*(1+Contract_Register!$M$39/2*Assumptions!$F$178)*IF(AND(Assumptions!K$201&gt;Contract_Register!$T$39,MOD(Assumptions!K$201-Contract_Register!$T$39,Assumptions!$C$90)=0),Contract_Register!$S$39,1)))</f>
        <v>33</v>
      </c>
      <c r="L79" s="67" t="n">
        <f aca="false">IF(L$5="A",Inputs_Actuals!L74,IF(Assumptions!L$201&lt;Contract_Register!$T$39,0,K79*(1+Contract_Register!$M$39/2*Assumptions!$F$178)*IF(AND(Assumptions!L$201&gt;Contract_Register!$T$39,MOD(Assumptions!L$201-Contract_Register!$T$39,Assumptions!$C$90)=0),Contract_Register!$S$39,1)))</f>
        <v>33</v>
      </c>
      <c r="M79" s="67" t="n">
        <f aca="false">IF(M$5="A",Inputs_Actuals!M74,IF(Assumptions!M$201&lt;Contract_Register!$T$39,0,L79*(1+Contract_Register!$M$39/2*Assumptions!$F$178)*IF(AND(Assumptions!M$201&gt;Contract_Register!$T$39,MOD(Assumptions!M$201-Contract_Register!$T$39,Assumptions!$C$90)=0),Contract_Register!$S$39,1)))</f>
        <v>33.0495</v>
      </c>
      <c r="N79" s="67" t="n">
        <f aca="false">IF(N$5="A",Inputs_Actuals!N74,IF(Assumptions!N$201&lt;Contract_Register!$T$39,0,M79*(1+Contract_Register!$M$39/2*Assumptions!$F$178)*IF(AND(Assumptions!N$201&gt;Contract_Register!$T$39,MOD(Assumptions!N$201-Contract_Register!$T$39,Assumptions!$C$90)=0),Contract_Register!$S$39,1)))</f>
        <v>33.09907425</v>
      </c>
      <c r="O79" s="67" t="n">
        <f aca="false">IF(O$5="A",Inputs_Actuals!O74,IF(Assumptions!O$201&lt;Contract_Register!$T$39,0,N79*(1+Contract_Register!$M$39/2*Assumptions!$F$178)*IF(AND(Assumptions!O$201&gt;Contract_Register!$T$39,MOD(Assumptions!O$201-Contract_Register!$T$39,Assumptions!$C$90)=0),Contract_Register!$S$39,1)))</f>
        <v>33.148722861375</v>
      </c>
      <c r="P79" s="67" t="n">
        <f aca="false">IF(P$5="A",Inputs_Actuals!P74,IF(Assumptions!P$201&lt;Contract_Register!$T$39,0,O79*(1+Contract_Register!$M$39/2*Assumptions!$F$178)*IF(AND(Assumptions!P$201&gt;Contract_Register!$T$39,MOD(Assumptions!P$201-Contract_Register!$T$39,Assumptions!$C$90)=0),Contract_Register!$S$39,1)))</f>
        <v>33.1984459456671</v>
      </c>
      <c r="Q79" s="67" t="n">
        <f aca="false">IF(Q$5="A",Inputs_Actuals!Q74,IF(Assumptions!Q$201&lt;Contract_Register!$T$39,0,P79*(1+Contract_Register!$M$39/2*Assumptions!$F$178)*IF(AND(Assumptions!Q$201&gt;Contract_Register!$T$39,MOD(Assumptions!Q$201-Contract_Register!$T$39,Assumptions!$C$90)=0),Contract_Register!$S$39,1)))</f>
        <v>33.2482436145856</v>
      </c>
      <c r="R79" s="67" t="n">
        <f aca="false">IF(R$5="A",Inputs_Actuals!R74,IF(Assumptions!R$201&lt;Contract_Register!$T$39,0,Q79*(1+Contract_Register!$M$39/2*Assumptions!$F$178)*IF(AND(Assumptions!R$201&gt;Contract_Register!$T$39,MOD(Assumptions!R$201-Contract_Register!$T$39,Assumptions!$C$90)=0),Contract_Register!$S$39,1)))</f>
        <v>33.2981159800075</v>
      </c>
      <c r="S79" s="67" t="n">
        <f aca="false">IF(S$5="A",Inputs_Actuals!S74,IF(Assumptions!S$201&lt;Contract_Register!$T$39,0,R79*(1+Contract_Register!$M$39/2*Assumptions!$F$178)*IF(AND(Assumptions!S$201&gt;Contract_Register!$T$39,MOD(Assumptions!S$201-Contract_Register!$T$39,Assumptions!$C$90)=0),Contract_Register!$S$39,1)))</f>
        <v>33.3480631539775</v>
      </c>
      <c r="T79" s="67" t="n">
        <f aca="false">IF(T$5="A",Inputs_Actuals!T74,IF(Assumptions!T$201&lt;Contract_Register!$T$39,0,S79*(1+Contract_Register!$M$39/2*Assumptions!$F$178)*IF(AND(Assumptions!T$201&gt;Contract_Register!$T$39,MOD(Assumptions!T$201-Contract_Register!$T$39,Assumptions!$C$90)=0),Contract_Register!$S$39,1)))</f>
        <v>33.3980852487084</v>
      </c>
      <c r="U79" s="67" t="n">
        <f aca="false">IF(U$5="A",Inputs_Actuals!U74,IF(Assumptions!U$201&lt;Contract_Register!$T$39,0,T79*(1+Contract_Register!$M$39/2*Assumptions!$F$178)*IF(AND(Assumptions!U$201&gt;Contract_Register!$T$39,MOD(Assumptions!U$201-Contract_Register!$T$39,Assumptions!$C$90)=0),Contract_Register!$S$39,1)))</f>
        <v>33.4481823765815</v>
      </c>
      <c r="V79" s="67" t="n">
        <f aca="false">IF(V$5="A",Inputs_Actuals!V74,IF(Assumptions!V$201&lt;Contract_Register!$T$39,0,U79*(1+Contract_Register!$M$39/2*Assumptions!$F$178)*IF(AND(Assumptions!V$201&gt;Contract_Register!$T$39,MOD(Assumptions!V$201-Contract_Register!$T$39,Assumptions!$C$90)=0),Contract_Register!$S$39,1)))</f>
        <v>33.4983546501464</v>
      </c>
      <c r="W79" s="67" t="n">
        <f aca="false">IF(W$5="A",Inputs_Actuals!W74,IF(Assumptions!W$201&lt;Contract_Register!$T$39,0,V79*(1+Contract_Register!$M$39/2*Assumptions!$F$178)*IF(AND(Assumptions!W$201&gt;Contract_Register!$T$39,MOD(Assumptions!W$201-Contract_Register!$T$39,Assumptions!$C$90)=0),Contract_Register!$S$39,1)))</f>
        <v>33.5486021821216</v>
      </c>
      <c r="X79" s="67" t="n">
        <f aca="false">IF(X$5="A",Inputs_Actuals!X74,IF(Assumptions!X$201&lt;Contract_Register!$T$39,0,W79*(1+Contract_Register!$M$39/2*Assumptions!$F$178)*IF(AND(Assumptions!X$201&gt;Contract_Register!$T$39,MOD(Assumptions!X$201-Contract_Register!$T$39,Assumptions!$C$90)=0),Contract_Register!$S$39,1)))</f>
        <v>33.5989250853948</v>
      </c>
      <c r="Y79" s="67" t="n">
        <f aca="false">IF(Y$5="A",Inputs_Actuals!Y74,IF(Assumptions!Y$201&lt;Contract_Register!$T$39,0,X79*(1+Contract_Register!$M$39/2*Assumptions!$F$178)*IF(AND(Assumptions!Y$201&gt;Contract_Register!$T$39,MOD(Assumptions!Y$201-Contract_Register!$T$39,Assumptions!$C$90)=0),Contract_Register!$S$39,1)))</f>
        <v>33.6493234730229</v>
      </c>
      <c r="Z79" s="67" t="n">
        <f aca="false">IF(Z$5="A",Inputs_Actuals!Z74,IF(Assumptions!Z$201&lt;Contract_Register!$T$39,0,Y79*(1+Contract_Register!$M$39/2*Assumptions!$F$178)*IF(AND(Assumptions!Z$201&gt;Contract_Register!$T$39,MOD(Assumptions!Z$201-Contract_Register!$T$39,Assumptions!$C$90)=0),Contract_Register!$S$39,1)))</f>
        <v>33.6997974582324</v>
      </c>
      <c r="AA79" s="67" t="n">
        <f aca="false">IF(AA$5="A",Inputs_Actuals!AA74,IF(Assumptions!AA$201&lt;Contract_Register!$T$39,0,Z79*(1+Contract_Register!$M$39/2*Assumptions!$F$178)*IF(AND(Assumptions!AA$201&gt;Contract_Register!$T$39,MOD(Assumptions!AA$201-Contract_Register!$T$39,Assumptions!$C$90)=0),Contract_Register!$S$39,1)))</f>
        <v>33.7503471544198</v>
      </c>
      <c r="AB79" s="67" t="n">
        <f aca="false">IF(AB$5="A",Inputs_Actuals!AB74,IF(Assumptions!AB$201&lt;Contract_Register!$T$39,0,AA79*(1+Contract_Register!$M$39/2*Assumptions!$F$178)*IF(AND(Assumptions!AB$201&gt;Contract_Register!$T$39,MOD(Assumptions!AB$201-Contract_Register!$T$39,Assumptions!$C$90)=0),Contract_Register!$S$39,1)))</f>
        <v>33.8009726751514</v>
      </c>
    </row>
    <row r="80" customFormat="false" ht="15" hidden="false" customHeight="false" outlineLevel="0" collapsed="false">
      <c r="A80" s="27" t="s">
        <v>846</v>
      </c>
      <c r="B80" s="63" t="s">
        <v>808</v>
      </c>
      <c r="C80" s="66" t="n">
        <f aca="false">P80</f>
        <v>77.1155</v>
      </c>
      <c r="D80" s="66" t="n">
        <f aca="false">AB80</f>
        <v>78.51508810372</v>
      </c>
      <c r="E80" s="67" t="n">
        <f aca="false">IF(Assumptions!E$201&lt;Contract_Register!$T$40,0,IF(Assumptions!E$201=Contract_Register!$T$40,Contract_Register!$J$40*Contract_Register!$S$40,0*(1+Contract_Register!$M$40/2*Assumptions!$F$178)))</f>
        <v>0</v>
      </c>
      <c r="F80" s="67" t="n">
        <f aca="false">IF(Assumptions!F$201&lt;Contract_Register!$T$40,0,IF(Assumptions!F$201=Contract_Register!$T$40,Contract_Register!$J$40*Contract_Register!$S$40,E80*(1+Contract_Register!$M$40/2*Assumptions!$F$178)))</f>
        <v>0</v>
      </c>
      <c r="G80" s="67" t="n">
        <f aca="false">IF(Assumptions!G$201&lt;Contract_Register!$T$40,0,IF(Assumptions!G$201=Contract_Register!$T$40,Contract_Register!$J$40*Contract_Register!$S$40,F80*(1+Contract_Register!$M$40/2*Assumptions!$F$178)))</f>
        <v>0</v>
      </c>
      <c r="H80" s="67" t="n">
        <f aca="false">IF(Assumptions!H$201&lt;Contract_Register!$T$40,0,IF(Assumptions!H$201=Contract_Register!$T$40,Contract_Register!$J$40*Contract_Register!$S$40,G80*(1+Contract_Register!$M$40/2*Assumptions!$F$178)))</f>
        <v>0</v>
      </c>
      <c r="I80" s="67" t="n">
        <f aca="false">IF(Assumptions!I$201&lt;Contract_Register!$T$40,0,IF(Assumptions!I$201=Contract_Register!$T$40,Contract_Register!$J$40*Contract_Register!$S$40,H80*(1+Contract_Register!$M$40/2*Assumptions!$F$178)))</f>
        <v>0</v>
      </c>
      <c r="J80" s="67" t="n">
        <f aca="false">IF(Assumptions!J$201&lt;Contract_Register!$T$40,0,IF(Assumptions!J$201=Contract_Register!$T$40,Contract_Register!$J$40*Contract_Register!$S$40,I80*(1+Contract_Register!$M$40/2*Assumptions!$F$178)))</f>
        <v>0</v>
      </c>
      <c r="K80" s="67" t="n">
        <f aca="false">IF(Assumptions!K$201&lt;Contract_Register!$T$40,0,IF(Assumptions!K$201=Contract_Register!$T$40,Contract_Register!$J$40*Contract_Register!$S$40,J80*(1+Contract_Register!$M$40/2*Assumptions!$F$178)))</f>
        <v>0</v>
      </c>
      <c r="L80" s="67" t="n">
        <f aca="false">IF(Assumptions!L$201&lt;Contract_Register!$T$40,0,IF(Assumptions!L$201=Contract_Register!$T$40,Contract_Register!$J$40*Contract_Register!$S$40,K80*(1+Contract_Register!$M$40/2*Assumptions!$F$178)))</f>
        <v>0</v>
      </c>
      <c r="M80" s="67" t="n">
        <f aca="false">IF(Assumptions!M$201&lt;Contract_Register!$T$40,0,IF(Assumptions!M$201=Contract_Register!$T$40,Contract_Register!$J$40*Contract_Register!$S$40,L80*(1+Contract_Register!$M$40/2*Assumptions!$F$178)))</f>
        <v>0</v>
      </c>
      <c r="N80" s="67" t="n">
        <f aca="false">IF(Assumptions!N$201&lt;Contract_Register!$T$40,0,IF(Assumptions!N$201=Contract_Register!$T$40,Contract_Register!$J$40*Contract_Register!$S$40,M80*(1+Contract_Register!$M$40/2*Assumptions!$F$178)))</f>
        <v>0</v>
      </c>
      <c r="O80" s="67" t="n">
        <f aca="false">IF(Assumptions!O$201&lt;Contract_Register!$T$40,0,IF(Assumptions!O$201=Contract_Register!$T$40,Contract_Register!$J$40*Contract_Register!$S$40,N80*(1+Contract_Register!$M$40/2*Assumptions!$F$178)))</f>
        <v>77</v>
      </c>
      <c r="P80" s="67" t="n">
        <f aca="false">IF(Assumptions!P$201&lt;Contract_Register!$T$40,0,IF(Assumptions!P$201=Contract_Register!$T$40,Contract_Register!$J$40*Contract_Register!$S$40,O80*(1+Contract_Register!$M$40/2*Assumptions!$F$178)))</f>
        <v>77.1155</v>
      </c>
      <c r="Q80" s="67" t="n">
        <f aca="false">IF(Assumptions!Q$201&lt;Contract_Register!$T$40,0,IF(Assumptions!Q$201=Contract_Register!$T$40,Contract_Register!$J$40*Contract_Register!$S$40,P80*(1+Contract_Register!$M$40/2*Assumptions!$F$178)))</f>
        <v>77.23117325</v>
      </c>
      <c r="R80" s="67" t="n">
        <f aca="false">IF(Assumptions!R$201&lt;Contract_Register!$T$40,0,IF(Assumptions!R$201=Contract_Register!$T$40,Contract_Register!$J$40*Contract_Register!$S$40,Q80*(1+Contract_Register!$M$40/2*Assumptions!$F$178)))</f>
        <v>77.347020009875</v>
      </c>
      <c r="S80" s="67" t="n">
        <f aca="false">IF(Assumptions!S$201&lt;Contract_Register!$T$40,0,IF(Assumptions!S$201=Contract_Register!$T$40,Contract_Register!$J$40*Contract_Register!$S$40,R80*(1+Contract_Register!$M$40/2*Assumptions!$F$178)))</f>
        <v>77.4630405398898</v>
      </c>
      <c r="T80" s="67" t="n">
        <f aca="false">IF(Assumptions!T$201&lt;Contract_Register!$T$40,0,IF(Assumptions!T$201=Contract_Register!$T$40,Contract_Register!$J$40*Contract_Register!$S$40,S80*(1+Contract_Register!$M$40/2*Assumptions!$F$178)))</f>
        <v>77.5792351006997</v>
      </c>
      <c r="U80" s="67" t="n">
        <f aca="false">IF(Assumptions!U$201&lt;Contract_Register!$T$40,0,IF(Assumptions!U$201=Contract_Register!$T$40,Contract_Register!$J$40*Contract_Register!$S$40,T80*(1+Contract_Register!$M$40/2*Assumptions!$F$178)))</f>
        <v>77.6956039533507</v>
      </c>
      <c r="V80" s="67" t="n">
        <f aca="false">IF(Assumptions!V$201&lt;Contract_Register!$T$40,0,IF(Assumptions!V$201=Contract_Register!$T$40,Contract_Register!$J$40*Contract_Register!$S$40,U80*(1+Contract_Register!$M$40/2*Assumptions!$F$178)))</f>
        <v>77.8121473592807</v>
      </c>
      <c r="W80" s="67" t="n">
        <f aca="false">IF(Assumptions!W$201&lt;Contract_Register!$T$40,0,IF(Assumptions!W$201=Contract_Register!$T$40,Contract_Register!$J$40*Contract_Register!$S$40,V80*(1+Contract_Register!$M$40/2*Assumptions!$F$178)))</f>
        <v>77.9288655803197</v>
      </c>
      <c r="X80" s="67" t="n">
        <f aca="false">IF(Assumptions!X$201&lt;Contract_Register!$T$40,0,IF(Assumptions!X$201=Contract_Register!$T$40,Contract_Register!$J$40*Contract_Register!$S$40,W80*(1+Contract_Register!$M$40/2*Assumptions!$F$178)))</f>
        <v>78.0457588786902</v>
      </c>
      <c r="Y80" s="67" t="n">
        <f aca="false">IF(Assumptions!Y$201&lt;Contract_Register!$T$40,0,IF(Assumptions!Y$201=Contract_Register!$T$40,Contract_Register!$J$40*Contract_Register!$S$40,X80*(1+Contract_Register!$M$40/2*Assumptions!$F$178)))</f>
        <v>78.1628275170082</v>
      </c>
      <c r="Z80" s="67" t="n">
        <f aca="false">IF(Assumptions!Z$201&lt;Contract_Register!$T$40,0,IF(Assumptions!Z$201=Contract_Register!$T$40,Contract_Register!$J$40*Contract_Register!$S$40,Y80*(1+Contract_Register!$M$40/2*Assumptions!$F$178)))</f>
        <v>78.2800717582837</v>
      </c>
      <c r="AA80" s="67" t="n">
        <f aca="false">IF(Assumptions!AA$201&lt;Contract_Register!$T$40,0,IF(Assumptions!AA$201=Contract_Register!$T$40,Contract_Register!$J$40*Contract_Register!$S$40,Z80*(1+Contract_Register!$M$40/2*Assumptions!$F$178)))</f>
        <v>78.3974918659211</v>
      </c>
      <c r="AB80" s="67" t="n">
        <f aca="false">IF(Assumptions!AB$201&lt;Contract_Register!$T$40,0,IF(Assumptions!AB$201=Contract_Register!$T$40,Contract_Register!$J$40*Contract_Register!$S$40,AA80*(1+Contract_Register!$M$40/2*Assumptions!$F$178)))</f>
        <v>78.51508810372</v>
      </c>
    </row>
    <row r="81" customFormat="false" ht="15" hidden="false" customHeight="false" outlineLevel="0" collapsed="false">
      <c r="A81" s="27" t="s">
        <v>847</v>
      </c>
      <c r="B81" s="63" t="s">
        <v>808</v>
      </c>
      <c r="C81" s="66" t="n">
        <f aca="false">P81</f>
        <v>0</v>
      </c>
      <c r="D81" s="66" t="n">
        <f aca="false">AB81</f>
        <v>20.3324861709828</v>
      </c>
      <c r="E81" s="67" t="n">
        <f aca="false">IF(Assumptions!E$201&lt;Contract_Register!$T$41,0,IF(Assumptions!E$201=Contract_Register!$T$41,Contract_Register!$J$41*Contract_Register!$S$41,0*(1+Contract_Register!$M$41/2*Assumptions!$F$178)))</f>
        <v>0</v>
      </c>
      <c r="F81" s="67" t="n">
        <f aca="false">IF(Assumptions!F$201&lt;Contract_Register!$T$41,0,IF(Assumptions!F$201=Contract_Register!$T$41,Contract_Register!$J$41*Contract_Register!$S$41,E81*(1+Contract_Register!$M$41/2*Assumptions!$F$178)))</f>
        <v>0</v>
      </c>
      <c r="G81" s="67" t="n">
        <f aca="false">IF(Assumptions!G$201&lt;Contract_Register!$T$41,0,IF(Assumptions!G$201=Contract_Register!$T$41,Contract_Register!$J$41*Contract_Register!$S$41,F81*(1+Contract_Register!$M$41/2*Assumptions!$F$178)))</f>
        <v>0</v>
      </c>
      <c r="H81" s="67" t="n">
        <f aca="false">IF(Assumptions!H$201&lt;Contract_Register!$T$41,0,IF(Assumptions!H$201=Contract_Register!$T$41,Contract_Register!$J$41*Contract_Register!$S$41,G81*(1+Contract_Register!$M$41/2*Assumptions!$F$178)))</f>
        <v>0</v>
      </c>
      <c r="I81" s="67" t="n">
        <f aca="false">IF(Assumptions!I$201&lt;Contract_Register!$T$41,0,IF(Assumptions!I$201=Contract_Register!$T$41,Contract_Register!$J$41*Contract_Register!$S$41,H81*(1+Contract_Register!$M$41/2*Assumptions!$F$178)))</f>
        <v>0</v>
      </c>
      <c r="J81" s="67" t="n">
        <f aca="false">IF(Assumptions!J$201&lt;Contract_Register!$T$41,0,IF(Assumptions!J$201=Contract_Register!$T$41,Contract_Register!$J$41*Contract_Register!$S$41,I81*(1+Contract_Register!$M$41/2*Assumptions!$F$178)))</f>
        <v>0</v>
      </c>
      <c r="K81" s="67" t="n">
        <f aca="false">IF(Assumptions!K$201&lt;Contract_Register!$T$41,0,IF(Assumptions!K$201=Contract_Register!$T$41,Contract_Register!$J$41*Contract_Register!$S$41,J81*(1+Contract_Register!$M$41/2*Assumptions!$F$178)))</f>
        <v>0</v>
      </c>
      <c r="L81" s="67" t="n">
        <f aca="false">IF(Assumptions!L$201&lt;Contract_Register!$T$41,0,IF(Assumptions!L$201=Contract_Register!$T$41,Contract_Register!$J$41*Contract_Register!$S$41,K81*(1+Contract_Register!$M$41/2*Assumptions!$F$178)))</f>
        <v>0</v>
      </c>
      <c r="M81" s="67" t="n">
        <f aca="false">IF(Assumptions!M$201&lt;Contract_Register!$T$41,0,IF(Assumptions!M$201=Contract_Register!$T$41,Contract_Register!$J$41*Contract_Register!$S$41,L81*(1+Contract_Register!$M$41/2*Assumptions!$F$178)))</f>
        <v>0</v>
      </c>
      <c r="N81" s="67" t="n">
        <f aca="false">IF(Assumptions!N$201&lt;Contract_Register!$T$41,0,IF(Assumptions!N$201=Contract_Register!$T$41,Contract_Register!$J$41*Contract_Register!$S$41,M81*(1+Contract_Register!$M$41/2*Assumptions!$F$178)))</f>
        <v>0</v>
      </c>
      <c r="O81" s="67" t="n">
        <f aca="false">IF(Assumptions!O$201&lt;Contract_Register!$T$41,0,IF(Assumptions!O$201=Contract_Register!$T$41,Contract_Register!$J$41*Contract_Register!$S$41,N81*(1+Contract_Register!$M$41/2*Assumptions!$F$178)))</f>
        <v>0</v>
      </c>
      <c r="P81" s="67" t="n">
        <f aca="false">IF(Assumptions!P$201&lt;Contract_Register!$T$41,0,IF(Assumptions!P$201=Contract_Register!$T$41,Contract_Register!$J$41*Contract_Register!$S$41,O81*(1+Contract_Register!$M$41/2*Assumptions!$F$178)))</f>
        <v>0</v>
      </c>
      <c r="Q81" s="67" t="n">
        <f aca="false">IF(Assumptions!Q$201&lt;Contract_Register!$T$41,0,IF(Assumptions!Q$201=Contract_Register!$T$41,Contract_Register!$J$41*Contract_Register!$S$41,P81*(1+Contract_Register!$M$41/2*Assumptions!$F$178)))</f>
        <v>20</v>
      </c>
      <c r="R81" s="67" t="n">
        <f aca="false">IF(Assumptions!R$201&lt;Contract_Register!$T$41,0,IF(Assumptions!R$201=Contract_Register!$T$41,Contract_Register!$J$41*Contract_Register!$S$41,Q81*(1+Contract_Register!$M$41/2*Assumptions!$F$178)))</f>
        <v>20.03</v>
      </c>
      <c r="S81" s="67" t="n">
        <f aca="false">IF(Assumptions!S$201&lt;Contract_Register!$T$41,0,IF(Assumptions!S$201=Contract_Register!$T$41,Contract_Register!$J$41*Contract_Register!$S$41,R81*(1+Contract_Register!$M$41/2*Assumptions!$F$178)))</f>
        <v>20.060045</v>
      </c>
      <c r="T81" s="67" t="n">
        <f aca="false">IF(Assumptions!T$201&lt;Contract_Register!$T$41,0,IF(Assumptions!T$201=Contract_Register!$T$41,Contract_Register!$J$41*Contract_Register!$S$41,S81*(1+Contract_Register!$M$41/2*Assumptions!$F$178)))</f>
        <v>20.0901350675</v>
      </c>
      <c r="U81" s="67" t="n">
        <f aca="false">IF(Assumptions!U$201&lt;Contract_Register!$T$41,0,IF(Assumptions!U$201=Contract_Register!$T$41,Contract_Register!$J$41*Contract_Register!$S$41,T81*(1+Contract_Register!$M$41/2*Assumptions!$F$178)))</f>
        <v>20.1202702701013</v>
      </c>
      <c r="V81" s="67" t="n">
        <f aca="false">IF(Assumptions!V$201&lt;Contract_Register!$T$41,0,IF(Assumptions!V$201=Contract_Register!$T$41,Contract_Register!$J$41*Contract_Register!$S$41,U81*(1+Contract_Register!$M$41/2*Assumptions!$F$178)))</f>
        <v>20.1504506755064</v>
      </c>
      <c r="W81" s="67" t="n">
        <f aca="false">IF(Assumptions!W$201&lt;Contract_Register!$T$41,0,IF(Assumptions!W$201=Contract_Register!$T$41,Contract_Register!$J$41*Contract_Register!$S$41,V81*(1+Contract_Register!$M$41/2*Assumptions!$F$178)))</f>
        <v>20.1806763515197</v>
      </c>
      <c r="X81" s="67" t="n">
        <f aca="false">IF(Assumptions!X$201&lt;Contract_Register!$T$41,0,IF(Assumptions!X$201=Contract_Register!$T$41,Contract_Register!$J$41*Contract_Register!$S$41,W81*(1+Contract_Register!$M$41/2*Assumptions!$F$178)))</f>
        <v>20.210947366047</v>
      </c>
      <c r="Y81" s="67" t="n">
        <f aca="false">IF(Assumptions!Y$201&lt;Contract_Register!$T$41,0,IF(Assumptions!Y$201=Contract_Register!$T$41,Contract_Register!$J$41*Contract_Register!$S$41,X81*(1+Contract_Register!$M$41/2*Assumptions!$F$178)))</f>
        <v>20.241263787096</v>
      </c>
      <c r="Z81" s="67" t="n">
        <f aca="false">IF(Assumptions!Z$201&lt;Contract_Register!$T$41,0,IF(Assumptions!Z$201=Contract_Register!$T$41,Contract_Register!$J$41*Contract_Register!$S$41,Y81*(1+Contract_Register!$M$41/2*Assumptions!$F$178)))</f>
        <v>20.2716256827767</v>
      </c>
      <c r="AA81" s="67" t="n">
        <f aca="false">IF(Assumptions!AA$201&lt;Contract_Register!$T$41,0,IF(Assumptions!AA$201=Contract_Register!$T$41,Contract_Register!$J$41*Contract_Register!$S$41,Z81*(1+Contract_Register!$M$41/2*Assumptions!$F$178)))</f>
        <v>20.3020331213008</v>
      </c>
      <c r="AB81" s="67" t="n">
        <f aca="false">IF(Assumptions!AB$201&lt;Contract_Register!$T$41,0,IF(Assumptions!AB$201=Contract_Register!$T$41,Contract_Register!$J$41*Contract_Register!$S$41,AA81*(1+Contract_Register!$M$41/2*Assumptions!$F$178)))</f>
        <v>20.3324861709828</v>
      </c>
    </row>
    <row r="82" customFormat="false" ht="15" hidden="false" customHeight="false" outlineLevel="0" collapsed="false">
      <c r="A82" s="27" t="s">
        <v>848</v>
      </c>
      <c r="B82" s="63" t="s">
        <v>808</v>
      </c>
      <c r="C82" s="66" t="n">
        <f aca="false">P82</f>
        <v>0</v>
      </c>
      <c r="D82" s="66" t="n">
        <f aca="false">AB82</f>
        <v>24.9986167252037</v>
      </c>
      <c r="E82" s="67" t="n">
        <f aca="false">IF(Assumptions!E$201&lt;Contract_Register!$T$42,0,IF(Assumptions!E$201=Contract_Register!$T$42,Contract_Register!$J$42*Contract_Register!$S$42,0*(1+Contract_Register!$M$42/2*Assumptions!$F$178)))</f>
        <v>0</v>
      </c>
      <c r="F82" s="67" t="n">
        <f aca="false">IF(Assumptions!F$201&lt;Contract_Register!$T$42,0,IF(Assumptions!F$201=Contract_Register!$T$42,Contract_Register!$J$42*Contract_Register!$S$42,E82*(1+Contract_Register!$M$42/2*Assumptions!$F$178)))</f>
        <v>0</v>
      </c>
      <c r="G82" s="67" t="n">
        <f aca="false">IF(Assumptions!G$201&lt;Contract_Register!$T$42,0,IF(Assumptions!G$201=Contract_Register!$T$42,Contract_Register!$J$42*Contract_Register!$S$42,F82*(1+Contract_Register!$M$42/2*Assumptions!$F$178)))</f>
        <v>0</v>
      </c>
      <c r="H82" s="67" t="n">
        <f aca="false">IF(Assumptions!H$201&lt;Contract_Register!$T$42,0,IF(Assumptions!H$201=Contract_Register!$T$42,Contract_Register!$J$42*Contract_Register!$S$42,G82*(1+Contract_Register!$M$42/2*Assumptions!$F$178)))</f>
        <v>0</v>
      </c>
      <c r="I82" s="67" t="n">
        <f aca="false">IF(Assumptions!I$201&lt;Contract_Register!$T$42,0,IF(Assumptions!I$201=Contract_Register!$T$42,Contract_Register!$J$42*Contract_Register!$S$42,H82*(1+Contract_Register!$M$42/2*Assumptions!$F$178)))</f>
        <v>0</v>
      </c>
      <c r="J82" s="67" t="n">
        <f aca="false">IF(Assumptions!J$201&lt;Contract_Register!$T$42,0,IF(Assumptions!J$201=Contract_Register!$T$42,Contract_Register!$J$42*Contract_Register!$S$42,I82*(1+Contract_Register!$M$42/2*Assumptions!$F$178)))</f>
        <v>0</v>
      </c>
      <c r="K82" s="67" t="n">
        <f aca="false">IF(Assumptions!K$201&lt;Contract_Register!$T$42,0,IF(Assumptions!K$201=Contract_Register!$T$42,Contract_Register!$J$42*Contract_Register!$S$42,J82*(1+Contract_Register!$M$42/2*Assumptions!$F$178)))</f>
        <v>0</v>
      </c>
      <c r="L82" s="67" t="n">
        <f aca="false">IF(Assumptions!L$201&lt;Contract_Register!$T$42,0,IF(Assumptions!L$201=Contract_Register!$T$42,Contract_Register!$J$42*Contract_Register!$S$42,K82*(1+Contract_Register!$M$42/2*Assumptions!$F$178)))</f>
        <v>0</v>
      </c>
      <c r="M82" s="67" t="n">
        <f aca="false">IF(Assumptions!M$201&lt;Contract_Register!$T$42,0,IF(Assumptions!M$201=Contract_Register!$T$42,Contract_Register!$J$42*Contract_Register!$S$42,L82*(1+Contract_Register!$M$42/2*Assumptions!$F$178)))</f>
        <v>0</v>
      </c>
      <c r="N82" s="67" t="n">
        <f aca="false">IF(Assumptions!N$201&lt;Contract_Register!$T$42,0,IF(Assumptions!N$201=Contract_Register!$T$42,Contract_Register!$J$42*Contract_Register!$S$42,M82*(1+Contract_Register!$M$42/2*Assumptions!$F$178)))</f>
        <v>0</v>
      </c>
      <c r="O82" s="67" t="n">
        <f aca="false">IF(Assumptions!O$201&lt;Contract_Register!$T$42,0,IF(Assumptions!O$201=Contract_Register!$T$42,Contract_Register!$J$42*Contract_Register!$S$42,N82*(1+Contract_Register!$M$42/2*Assumptions!$F$178)))</f>
        <v>0</v>
      </c>
      <c r="P82" s="67" t="n">
        <f aca="false">IF(Assumptions!P$201&lt;Contract_Register!$T$42,0,IF(Assumptions!P$201=Contract_Register!$T$42,Contract_Register!$J$42*Contract_Register!$S$42,O82*(1+Contract_Register!$M$42/2*Assumptions!$F$178)))</f>
        <v>0</v>
      </c>
      <c r="Q82" s="67" t="n">
        <f aca="false">IF(Assumptions!Q$201&lt;Contract_Register!$T$42,0,IF(Assumptions!Q$201=Contract_Register!$T$42,Contract_Register!$J$42*Contract_Register!$S$42,P82*(1+Contract_Register!$M$42/2*Assumptions!$F$178)))</f>
        <v>0</v>
      </c>
      <c r="R82" s="67" t="n">
        <f aca="false">IF(Assumptions!R$201&lt;Contract_Register!$T$42,0,IF(Assumptions!R$201=Contract_Register!$T$42,Contract_Register!$J$42*Contract_Register!$S$42,Q82*(1+Contract_Register!$M$42/2*Assumptions!$F$178)))</f>
        <v>24.75</v>
      </c>
      <c r="S82" s="67" t="n">
        <f aca="false">IF(Assumptions!S$201&lt;Contract_Register!$T$42,0,IF(Assumptions!S$201=Contract_Register!$T$42,Contract_Register!$J$42*Contract_Register!$S$42,R82*(1+Contract_Register!$M$42/2*Assumptions!$F$178)))</f>
        <v>24.77475</v>
      </c>
      <c r="T82" s="67" t="n">
        <f aca="false">IF(Assumptions!T$201&lt;Contract_Register!$T$42,0,IF(Assumptions!T$201=Contract_Register!$T$42,Contract_Register!$J$42*Contract_Register!$S$42,S82*(1+Contract_Register!$M$42/2*Assumptions!$F$178)))</f>
        <v>24.79952475</v>
      </c>
      <c r="U82" s="67" t="n">
        <f aca="false">IF(Assumptions!U$201&lt;Contract_Register!$T$42,0,IF(Assumptions!U$201=Contract_Register!$T$42,Contract_Register!$J$42*Contract_Register!$S$42,T82*(1+Contract_Register!$M$42/2*Assumptions!$F$178)))</f>
        <v>24.82432427475</v>
      </c>
      <c r="V82" s="67" t="n">
        <f aca="false">IF(Assumptions!V$201&lt;Contract_Register!$T$42,0,IF(Assumptions!V$201=Contract_Register!$T$42,Contract_Register!$J$42*Contract_Register!$S$42,U82*(1+Contract_Register!$M$42/2*Assumptions!$F$178)))</f>
        <v>24.8491485990247</v>
      </c>
      <c r="W82" s="67" t="n">
        <f aca="false">IF(Assumptions!W$201&lt;Contract_Register!$T$42,0,IF(Assumptions!W$201=Contract_Register!$T$42,Contract_Register!$J$42*Contract_Register!$S$42,V82*(1+Contract_Register!$M$42/2*Assumptions!$F$178)))</f>
        <v>24.8739977476238</v>
      </c>
      <c r="X82" s="67" t="n">
        <f aca="false">IF(Assumptions!X$201&lt;Contract_Register!$T$42,0,IF(Assumptions!X$201=Contract_Register!$T$42,Contract_Register!$J$42*Contract_Register!$S$42,W82*(1+Contract_Register!$M$42/2*Assumptions!$F$178)))</f>
        <v>24.8988717453714</v>
      </c>
      <c r="Y82" s="67" t="n">
        <f aca="false">IF(Assumptions!Y$201&lt;Contract_Register!$T$42,0,IF(Assumptions!Y$201=Contract_Register!$T$42,Contract_Register!$J$42*Contract_Register!$S$42,X82*(1+Contract_Register!$M$42/2*Assumptions!$F$178)))</f>
        <v>24.9237706171168</v>
      </c>
      <c r="Z82" s="67" t="n">
        <f aca="false">IF(Assumptions!Z$201&lt;Contract_Register!$T$42,0,IF(Assumptions!Z$201=Contract_Register!$T$42,Contract_Register!$J$42*Contract_Register!$S$42,Y82*(1+Contract_Register!$M$42/2*Assumptions!$F$178)))</f>
        <v>24.9486943877339</v>
      </c>
      <c r="AA82" s="67" t="n">
        <f aca="false">IF(Assumptions!AA$201&lt;Contract_Register!$T$42,0,IF(Assumptions!AA$201=Contract_Register!$T$42,Contract_Register!$J$42*Contract_Register!$S$42,Z82*(1+Contract_Register!$M$42/2*Assumptions!$F$178)))</f>
        <v>24.9736430821216</v>
      </c>
      <c r="AB82" s="67" t="n">
        <f aca="false">IF(Assumptions!AB$201&lt;Contract_Register!$T$42,0,IF(Assumptions!AB$201=Contract_Register!$T$42,Contract_Register!$J$42*Contract_Register!$S$42,AA82*(1+Contract_Register!$M$42/2*Assumptions!$F$178)))</f>
        <v>24.9986167252037</v>
      </c>
    </row>
    <row r="83" customFormat="false" ht="15" hidden="false" customHeight="false" outlineLevel="0" collapsed="false">
      <c r="A83" s="27" t="s">
        <v>849</v>
      </c>
      <c r="B83" s="63" t="s">
        <v>808</v>
      </c>
      <c r="C83" s="66" t="n">
        <f aca="false">P83</f>
        <v>0</v>
      </c>
      <c r="D83" s="66" t="n">
        <f aca="false">AB83</f>
        <v>14.1123927849808</v>
      </c>
      <c r="E83" s="67" t="n">
        <f aca="false">IF(Assumptions!E$201&lt;Contract_Register!$T$43,0,IF(Assumptions!E$201=Contract_Register!$T$43,Contract_Register!$J$43*Contract_Register!$S$43,0*(1+Contract_Register!$M$43/2*Assumptions!$F$178)))</f>
        <v>0</v>
      </c>
      <c r="F83" s="67" t="n">
        <f aca="false">IF(Assumptions!F$201&lt;Contract_Register!$T$43,0,IF(Assumptions!F$201=Contract_Register!$T$43,Contract_Register!$J$43*Contract_Register!$S$43,E83*(1+Contract_Register!$M$43/2*Assumptions!$F$178)))</f>
        <v>0</v>
      </c>
      <c r="G83" s="67" t="n">
        <f aca="false">IF(Assumptions!G$201&lt;Contract_Register!$T$43,0,IF(Assumptions!G$201=Contract_Register!$T$43,Contract_Register!$J$43*Contract_Register!$S$43,F83*(1+Contract_Register!$M$43/2*Assumptions!$F$178)))</f>
        <v>0</v>
      </c>
      <c r="H83" s="67" t="n">
        <f aca="false">IF(Assumptions!H$201&lt;Contract_Register!$T$43,0,IF(Assumptions!H$201=Contract_Register!$T$43,Contract_Register!$J$43*Contract_Register!$S$43,G83*(1+Contract_Register!$M$43/2*Assumptions!$F$178)))</f>
        <v>0</v>
      </c>
      <c r="I83" s="67" t="n">
        <f aca="false">IF(Assumptions!I$201&lt;Contract_Register!$T$43,0,IF(Assumptions!I$201=Contract_Register!$T$43,Contract_Register!$J$43*Contract_Register!$S$43,H83*(1+Contract_Register!$M$43/2*Assumptions!$F$178)))</f>
        <v>0</v>
      </c>
      <c r="J83" s="67" t="n">
        <f aca="false">IF(Assumptions!J$201&lt;Contract_Register!$T$43,0,IF(Assumptions!J$201=Contract_Register!$T$43,Contract_Register!$J$43*Contract_Register!$S$43,I83*(1+Contract_Register!$M$43/2*Assumptions!$F$178)))</f>
        <v>0</v>
      </c>
      <c r="K83" s="67" t="n">
        <f aca="false">IF(Assumptions!K$201&lt;Contract_Register!$T$43,0,IF(Assumptions!K$201=Contract_Register!$T$43,Contract_Register!$J$43*Contract_Register!$S$43,J83*(1+Contract_Register!$M$43/2*Assumptions!$F$178)))</f>
        <v>0</v>
      </c>
      <c r="L83" s="67" t="n">
        <f aca="false">IF(Assumptions!L$201&lt;Contract_Register!$T$43,0,IF(Assumptions!L$201=Contract_Register!$T$43,Contract_Register!$J$43*Contract_Register!$S$43,K83*(1+Contract_Register!$M$43/2*Assumptions!$F$178)))</f>
        <v>0</v>
      </c>
      <c r="M83" s="67" t="n">
        <f aca="false">IF(Assumptions!M$201&lt;Contract_Register!$T$43,0,IF(Assumptions!M$201=Contract_Register!$T$43,Contract_Register!$J$43*Contract_Register!$S$43,L83*(1+Contract_Register!$M$43/2*Assumptions!$F$178)))</f>
        <v>0</v>
      </c>
      <c r="N83" s="67" t="n">
        <f aca="false">IF(Assumptions!N$201&lt;Contract_Register!$T$43,0,IF(Assumptions!N$201=Contract_Register!$T$43,Contract_Register!$J$43*Contract_Register!$S$43,M83*(1+Contract_Register!$M$43/2*Assumptions!$F$178)))</f>
        <v>0</v>
      </c>
      <c r="O83" s="67" t="n">
        <f aca="false">IF(Assumptions!O$201&lt;Contract_Register!$T$43,0,IF(Assumptions!O$201=Contract_Register!$T$43,Contract_Register!$J$43*Contract_Register!$S$43,N83*(1+Contract_Register!$M$43/2*Assumptions!$F$178)))</f>
        <v>0</v>
      </c>
      <c r="P83" s="67" t="n">
        <f aca="false">IF(Assumptions!P$201&lt;Contract_Register!$T$43,0,IF(Assumptions!P$201=Contract_Register!$T$43,Contract_Register!$J$43*Contract_Register!$S$43,O83*(1+Contract_Register!$M$43/2*Assumptions!$F$178)))</f>
        <v>0</v>
      </c>
      <c r="Q83" s="67" t="n">
        <f aca="false">IF(Assumptions!Q$201&lt;Contract_Register!$T$43,0,IF(Assumptions!Q$201=Contract_Register!$T$43,Contract_Register!$J$43*Contract_Register!$S$43,P83*(1+Contract_Register!$M$43/2*Assumptions!$F$178)))</f>
        <v>0</v>
      </c>
      <c r="R83" s="67" t="n">
        <f aca="false">IF(Assumptions!R$201&lt;Contract_Register!$T$43,0,IF(Assumptions!R$201=Contract_Register!$T$43,Contract_Register!$J$43*Contract_Register!$S$43,Q83*(1+Contract_Register!$M$43/2*Assumptions!$F$178)))</f>
        <v>0</v>
      </c>
      <c r="S83" s="67" t="n">
        <f aca="false">IF(Assumptions!S$201&lt;Contract_Register!$T$43,0,IF(Assumptions!S$201=Contract_Register!$T$43,Contract_Register!$J$43*Contract_Register!$S$43,R83*(1+Contract_Register!$M$43/2*Assumptions!$F$178)))</f>
        <v>0</v>
      </c>
      <c r="T83" s="67" t="n">
        <f aca="false">IF(Assumptions!T$201&lt;Contract_Register!$T$43,0,IF(Assumptions!T$201=Contract_Register!$T$43,Contract_Register!$J$43*Contract_Register!$S$43,S83*(1+Contract_Register!$M$43/2*Assumptions!$F$178)))</f>
        <v>14</v>
      </c>
      <c r="U83" s="67" t="n">
        <f aca="false">IF(Assumptions!U$201&lt;Contract_Register!$T$43,0,IF(Assumptions!U$201=Contract_Register!$T$43,Contract_Register!$J$43*Contract_Register!$S$43,T83*(1+Contract_Register!$M$43/2*Assumptions!$F$178)))</f>
        <v>14.014</v>
      </c>
      <c r="V83" s="67" t="n">
        <f aca="false">IF(Assumptions!V$201&lt;Contract_Register!$T$43,0,IF(Assumptions!V$201=Contract_Register!$T$43,Contract_Register!$J$43*Contract_Register!$S$43,U83*(1+Contract_Register!$M$43/2*Assumptions!$F$178)))</f>
        <v>14.028014</v>
      </c>
      <c r="W83" s="67" t="n">
        <f aca="false">IF(Assumptions!W$201&lt;Contract_Register!$T$43,0,IF(Assumptions!W$201=Contract_Register!$T$43,Contract_Register!$J$43*Contract_Register!$S$43,V83*(1+Contract_Register!$M$43/2*Assumptions!$F$178)))</f>
        <v>14.042042014</v>
      </c>
      <c r="X83" s="67" t="n">
        <f aca="false">IF(Assumptions!X$201&lt;Contract_Register!$T$43,0,IF(Assumptions!X$201=Contract_Register!$T$43,Contract_Register!$J$43*Contract_Register!$S$43,W83*(1+Contract_Register!$M$43/2*Assumptions!$F$178)))</f>
        <v>14.056084056014</v>
      </c>
      <c r="Y83" s="67" t="n">
        <f aca="false">IF(Assumptions!Y$201&lt;Contract_Register!$T$43,0,IF(Assumptions!Y$201=Contract_Register!$T$43,Contract_Register!$J$43*Contract_Register!$S$43,X83*(1+Contract_Register!$M$43/2*Assumptions!$F$178)))</f>
        <v>14.07014014007</v>
      </c>
      <c r="Z83" s="67" t="n">
        <f aca="false">IF(Assumptions!Z$201&lt;Contract_Register!$T$43,0,IF(Assumptions!Z$201=Contract_Register!$T$43,Contract_Register!$J$43*Contract_Register!$S$43,Y83*(1+Contract_Register!$M$43/2*Assumptions!$F$178)))</f>
        <v>14.0842102802101</v>
      </c>
      <c r="AA83" s="67" t="n">
        <f aca="false">IF(Assumptions!AA$201&lt;Contract_Register!$T$43,0,IF(Assumptions!AA$201=Contract_Register!$T$43,Contract_Register!$J$43*Contract_Register!$S$43,Z83*(1+Contract_Register!$M$43/2*Assumptions!$F$178)))</f>
        <v>14.0982944904903</v>
      </c>
      <c r="AB83" s="67" t="n">
        <f aca="false">IF(Assumptions!AB$201&lt;Contract_Register!$T$43,0,IF(Assumptions!AB$201=Contract_Register!$T$43,Contract_Register!$J$43*Contract_Register!$S$43,AA83*(1+Contract_Register!$M$43/2*Assumptions!$F$178)))</f>
        <v>14.1123927849808</v>
      </c>
    </row>
    <row r="84" customFormat="false" ht="15" hidden="false" customHeight="false" outlineLevel="0" collapsed="false">
      <c r="A84" s="21" t="s">
        <v>850</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row>
    <row r="85" customFormat="false" ht="15" hidden="false" customHeight="false" outlineLevel="0" collapsed="false">
      <c r="A85" s="27" t="s">
        <v>813</v>
      </c>
      <c r="B85" s="63" t="s">
        <v>851</v>
      </c>
      <c r="C85" s="121" t="n">
        <f aca="false">P85</f>
        <v>1.02600004443161</v>
      </c>
      <c r="D85" s="121" t="n">
        <f aca="false">AB85</f>
        <v>1.05678004576456</v>
      </c>
      <c r="E85" s="107" t="n">
        <f aca="false">IF(E$5="A",IF((Inputs_Actuals!E9*Contract_Register!$K$7+Inputs_Actuals!E42*Contract_Register!$L$7)=0,0,Inputs_Actuals!E75/(Inputs_Actuals!E9*Contract_Register!$K$7+Inputs_Actuals!E42*Contract_Register!$L$7)),1*IF(AND(Assumptions!E$201&gt;Contract_Register!$T$7,MOD(Assumptions!E$201-Contract_Register!$T$7,12)=0),(1+Assumptions!$F$179)*IF(MOD(Assumptions!E$201-Contract_Register!$T$7,Assumptions!$C$90)=0,1+Assumptions!$F$180,1),1))</f>
        <v>1</v>
      </c>
      <c r="F85" s="107" t="n">
        <f aca="false">IF(F$5="A",IF((Inputs_Actuals!F9*Contract_Register!$K$7+Inputs_Actuals!F42*Contract_Register!$L$7)=0,0,Inputs_Actuals!F75/(Inputs_Actuals!F9*Contract_Register!$K$7+Inputs_Actuals!F42*Contract_Register!$L$7)),E85*IF(AND(Assumptions!F$201&gt;Contract_Register!$T$7,MOD(Assumptions!F$201-Contract_Register!$T$7,12)=0),(1+Assumptions!$F$179)*IF(MOD(Assumptions!F$201-Contract_Register!$T$7,Assumptions!$C$90)=0,1+Assumptions!$F$180,1),1))</f>
        <v>1</v>
      </c>
      <c r="G85" s="107" t="n">
        <f aca="false">IF(G$5="A",IF((Inputs_Actuals!G9*Contract_Register!$K$7+Inputs_Actuals!G42*Contract_Register!$L$7)=0,0,Inputs_Actuals!G75/(Inputs_Actuals!G9*Contract_Register!$K$7+Inputs_Actuals!G42*Contract_Register!$L$7)),F85*IF(AND(Assumptions!G$201&gt;Contract_Register!$T$7,MOD(Assumptions!G$201-Contract_Register!$T$7,12)=0),(1+Assumptions!$F$179)*IF(MOD(Assumptions!G$201-Contract_Register!$T$7,Assumptions!$C$90)=0,1+Assumptions!$F$180,1),1))</f>
        <v>1.02599991042236</v>
      </c>
      <c r="H85" s="107" t="n">
        <f aca="false">IF(H$5="A",IF((Inputs_Actuals!H9*Contract_Register!$K$7+Inputs_Actuals!H42*Contract_Register!$L$7)=0,0,Inputs_Actuals!H75/(Inputs_Actuals!H9*Contract_Register!$K$7+Inputs_Actuals!H42*Contract_Register!$L$7)),G85*IF(AND(Assumptions!H$201&gt;Contract_Register!$T$7,MOD(Assumptions!H$201-Contract_Register!$T$7,12)=0),(1+Assumptions!$F$179)*IF(MOD(Assumptions!H$201-Contract_Register!$T$7,Assumptions!$C$90)=0,1+Assumptions!$F$180,1),1))</f>
        <v>1.02600013375242</v>
      </c>
      <c r="I85" s="107" t="n">
        <f aca="false">IF(I$5="A",IF((Inputs_Actuals!I9*Contract_Register!$K$7+Inputs_Actuals!I42*Contract_Register!$L$7)=0,0,Inputs_Actuals!I75/(Inputs_Actuals!I9*Contract_Register!$K$7+Inputs_Actuals!I42*Contract_Register!$L$7)),H85*IF(AND(Assumptions!I$201&gt;Contract_Register!$T$7,MOD(Assumptions!I$201-Contract_Register!$T$7,12)=0),(1+Assumptions!$F$179)*IF(MOD(Assumptions!I$201-Contract_Register!$T$7,Assumptions!$C$90)=0,1+Assumptions!$F$180,1),1))</f>
        <v>1.02600013375242</v>
      </c>
      <c r="J85" s="107" t="n">
        <f aca="false">IF(J$5="A",IF((Inputs_Actuals!J9*Contract_Register!$K$7+Inputs_Actuals!J42*Contract_Register!$L$7)=0,0,Inputs_Actuals!J75/(Inputs_Actuals!J9*Contract_Register!$K$7+Inputs_Actuals!J42*Contract_Register!$L$7)),I85*IF(AND(Assumptions!J$201&gt;Contract_Register!$T$7,MOD(Assumptions!J$201-Contract_Register!$T$7,12)=0),(1+Assumptions!$F$179)*IF(MOD(Assumptions!J$201-Contract_Register!$T$7,Assumptions!$C$90)=0,1+Assumptions!$F$180,1),1))</f>
        <v>1.02600008901549</v>
      </c>
      <c r="K85" s="107" t="n">
        <f aca="false">IF(K$5="A",IF((Inputs_Actuals!K9*Contract_Register!$K$7+Inputs_Actuals!K42*Contract_Register!$L$7)=0,0,Inputs_Actuals!K75/(Inputs_Actuals!K9*Contract_Register!$K$7+Inputs_Actuals!K42*Contract_Register!$L$7)),J85*IF(AND(Assumptions!K$201&gt;Contract_Register!$T$7,MOD(Assumptions!K$201-Contract_Register!$T$7,12)=0),(1+Assumptions!$F$179)*IF(MOD(Assumptions!K$201-Contract_Register!$T$7,Assumptions!$C$90)=0,1+Assumptions!$F$180,1),1))</f>
        <v>1.02600008901549</v>
      </c>
      <c r="L85" s="107" t="n">
        <f aca="false">IF(L$5="A",IF((Inputs_Actuals!L9*Contract_Register!$K$7+Inputs_Actuals!L42*Contract_Register!$L$7)=0,0,Inputs_Actuals!L75/(Inputs_Actuals!L9*Contract_Register!$K$7+Inputs_Actuals!L42*Contract_Register!$L$7)),K85*IF(AND(Assumptions!L$201&gt;Contract_Register!$T$7,MOD(Assumptions!L$201-Contract_Register!$T$7,12)=0),(1+Assumptions!$F$179)*IF(MOD(Assumptions!L$201-Contract_Register!$T$7,Assumptions!$C$90)=0,1+Assumptions!$F$180,1),1))</f>
        <v>1.02600004443161</v>
      </c>
      <c r="M85" s="107" t="n">
        <f aca="false">IF(M$5="A",IF((Inputs_Actuals!M9*Contract_Register!$K$7+Inputs_Actuals!M42*Contract_Register!$L$7)=0,0,Inputs_Actuals!M75/(Inputs_Actuals!M9*Contract_Register!$K$7+Inputs_Actuals!M42*Contract_Register!$L$7)),L85*IF(AND(Assumptions!M$201&gt;Contract_Register!$T$7,MOD(Assumptions!M$201-Contract_Register!$T$7,12)=0),(1+Assumptions!$F$179)*IF(MOD(Assumptions!M$201-Contract_Register!$T$7,Assumptions!$C$90)=0,1+Assumptions!$F$180,1),1))</f>
        <v>1.02600004443161</v>
      </c>
      <c r="N85" s="107" t="n">
        <f aca="false">IF(N$5="A",IF((Inputs_Actuals!N9*Contract_Register!$K$7+Inputs_Actuals!N42*Contract_Register!$L$7)=0,0,Inputs_Actuals!N75/(Inputs_Actuals!N9*Contract_Register!$K$7+Inputs_Actuals!N42*Contract_Register!$L$7)),M85*IF(AND(Assumptions!N$201&gt;Contract_Register!$T$7,MOD(Assumptions!N$201-Contract_Register!$T$7,12)=0),(1+Assumptions!$F$179)*IF(MOD(Assumptions!N$201-Contract_Register!$T$7,Assumptions!$C$90)=0,1+Assumptions!$F$180,1),1))</f>
        <v>1.02600004443161</v>
      </c>
      <c r="O85" s="107" t="n">
        <f aca="false">IF(O$5="A",IF((Inputs_Actuals!O9*Contract_Register!$K$7+Inputs_Actuals!O42*Contract_Register!$L$7)=0,0,Inputs_Actuals!O75/(Inputs_Actuals!O9*Contract_Register!$K$7+Inputs_Actuals!O42*Contract_Register!$L$7)),N85*IF(AND(Assumptions!O$201&gt;Contract_Register!$T$7,MOD(Assumptions!O$201-Contract_Register!$T$7,12)=0),(1+Assumptions!$F$179)*IF(MOD(Assumptions!O$201-Contract_Register!$T$7,Assumptions!$C$90)=0,1+Assumptions!$F$180,1),1))</f>
        <v>1.02600004443161</v>
      </c>
      <c r="P85" s="107" t="n">
        <f aca="false">IF(P$5="A",IF((Inputs_Actuals!P9*Contract_Register!$K$7+Inputs_Actuals!P42*Contract_Register!$L$7)=0,0,Inputs_Actuals!P75/(Inputs_Actuals!P9*Contract_Register!$K$7+Inputs_Actuals!P42*Contract_Register!$L$7)),O85*IF(AND(Assumptions!P$201&gt;Contract_Register!$T$7,MOD(Assumptions!P$201-Contract_Register!$T$7,12)=0),(1+Assumptions!$F$179)*IF(MOD(Assumptions!P$201-Contract_Register!$T$7,Assumptions!$C$90)=0,1+Assumptions!$F$180,1),1))</f>
        <v>1.02600004443161</v>
      </c>
      <c r="Q85" s="107" t="n">
        <f aca="false">IF(Q$5="A",IF((Inputs_Actuals!Q9*Contract_Register!$K$7+Inputs_Actuals!Q42*Contract_Register!$L$7)=0,0,Inputs_Actuals!Q75/(Inputs_Actuals!Q9*Contract_Register!$K$7+Inputs_Actuals!Q42*Contract_Register!$L$7)),P85*IF(AND(Assumptions!Q$201&gt;Contract_Register!$T$7,MOD(Assumptions!Q$201-Contract_Register!$T$7,12)=0),(1+Assumptions!$F$179)*IF(MOD(Assumptions!Q$201-Contract_Register!$T$7,Assumptions!$C$90)=0,1+Assumptions!$F$180,1),1))</f>
        <v>1.02600004443161</v>
      </c>
      <c r="R85" s="107" t="n">
        <f aca="false">IF(R$5="A",IF((Inputs_Actuals!R9*Contract_Register!$K$7+Inputs_Actuals!R42*Contract_Register!$L$7)=0,0,Inputs_Actuals!R75/(Inputs_Actuals!R9*Contract_Register!$K$7+Inputs_Actuals!R42*Contract_Register!$L$7)),Q85*IF(AND(Assumptions!R$201&gt;Contract_Register!$T$7,MOD(Assumptions!R$201-Contract_Register!$T$7,12)=0),(1+Assumptions!$F$179)*IF(MOD(Assumptions!R$201-Contract_Register!$T$7,Assumptions!$C$90)=0,1+Assumptions!$F$180,1),1))</f>
        <v>1.02600004443161</v>
      </c>
      <c r="S85" s="107" t="n">
        <f aca="false">IF(S$5="A",IF((Inputs_Actuals!S9*Contract_Register!$K$7+Inputs_Actuals!S42*Contract_Register!$L$7)=0,0,Inputs_Actuals!S75/(Inputs_Actuals!S9*Contract_Register!$K$7+Inputs_Actuals!S42*Contract_Register!$L$7)),R85*IF(AND(Assumptions!S$201&gt;Contract_Register!$T$7,MOD(Assumptions!S$201-Contract_Register!$T$7,12)=0),(1+Assumptions!$F$179)*IF(MOD(Assumptions!S$201-Contract_Register!$T$7,Assumptions!$C$90)=0,1+Assumptions!$F$180,1),1))</f>
        <v>1.05678004576456</v>
      </c>
      <c r="T85" s="107" t="n">
        <f aca="false">IF(T$5="A",IF((Inputs_Actuals!T9*Contract_Register!$K$7+Inputs_Actuals!T42*Contract_Register!$L$7)=0,0,Inputs_Actuals!T75/(Inputs_Actuals!T9*Contract_Register!$K$7+Inputs_Actuals!T42*Contract_Register!$L$7)),S85*IF(AND(Assumptions!T$201&gt;Contract_Register!$T$7,MOD(Assumptions!T$201-Contract_Register!$T$7,12)=0),(1+Assumptions!$F$179)*IF(MOD(Assumptions!T$201-Contract_Register!$T$7,Assumptions!$C$90)=0,1+Assumptions!$F$180,1),1))</f>
        <v>1.05678004576456</v>
      </c>
      <c r="U85" s="107" t="n">
        <f aca="false">IF(U$5="A",IF((Inputs_Actuals!U9*Contract_Register!$K$7+Inputs_Actuals!U42*Contract_Register!$L$7)=0,0,Inputs_Actuals!U75/(Inputs_Actuals!U9*Contract_Register!$K$7+Inputs_Actuals!U42*Contract_Register!$L$7)),T85*IF(AND(Assumptions!U$201&gt;Contract_Register!$T$7,MOD(Assumptions!U$201-Contract_Register!$T$7,12)=0),(1+Assumptions!$F$179)*IF(MOD(Assumptions!U$201-Contract_Register!$T$7,Assumptions!$C$90)=0,1+Assumptions!$F$180,1),1))</f>
        <v>1.05678004576456</v>
      </c>
      <c r="V85" s="107" t="n">
        <f aca="false">IF(V$5="A",IF((Inputs_Actuals!V9*Contract_Register!$K$7+Inputs_Actuals!V42*Contract_Register!$L$7)=0,0,Inputs_Actuals!V75/(Inputs_Actuals!V9*Contract_Register!$K$7+Inputs_Actuals!V42*Contract_Register!$L$7)),U85*IF(AND(Assumptions!V$201&gt;Contract_Register!$T$7,MOD(Assumptions!V$201-Contract_Register!$T$7,12)=0),(1+Assumptions!$F$179)*IF(MOD(Assumptions!V$201-Contract_Register!$T$7,Assumptions!$C$90)=0,1+Assumptions!$F$180,1),1))</f>
        <v>1.05678004576456</v>
      </c>
      <c r="W85" s="107" t="n">
        <f aca="false">IF(W$5="A",IF((Inputs_Actuals!W9*Contract_Register!$K$7+Inputs_Actuals!W42*Contract_Register!$L$7)=0,0,Inputs_Actuals!W75/(Inputs_Actuals!W9*Contract_Register!$K$7+Inputs_Actuals!W42*Contract_Register!$L$7)),V85*IF(AND(Assumptions!W$201&gt;Contract_Register!$T$7,MOD(Assumptions!W$201-Contract_Register!$T$7,12)=0),(1+Assumptions!$F$179)*IF(MOD(Assumptions!W$201-Contract_Register!$T$7,Assumptions!$C$90)=0,1+Assumptions!$F$180,1),1))</f>
        <v>1.05678004576456</v>
      </c>
      <c r="X85" s="107" t="n">
        <f aca="false">IF(X$5="A",IF((Inputs_Actuals!X9*Contract_Register!$K$7+Inputs_Actuals!X42*Contract_Register!$L$7)=0,0,Inputs_Actuals!X75/(Inputs_Actuals!X9*Contract_Register!$K$7+Inputs_Actuals!X42*Contract_Register!$L$7)),W85*IF(AND(Assumptions!X$201&gt;Contract_Register!$T$7,MOD(Assumptions!X$201-Contract_Register!$T$7,12)=0),(1+Assumptions!$F$179)*IF(MOD(Assumptions!X$201-Contract_Register!$T$7,Assumptions!$C$90)=0,1+Assumptions!$F$180,1),1))</f>
        <v>1.05678004576456</v>
      </c>
      <c r="Y85" s="107" t="n">
        <f aca="false">IF(Y$5="A",IF((Inputs_Actuals!Y9*Contract_Register!$K$7+Inputs_Actuals!Y42*Contract_Register!$L$7)=0,0,Inputs_Actuals!Y75/(Inputs_Actuals!Y9*Contract_Register!$K$7+Inputs_Actuals!Y42*Contract_Register!$L$7)),X85*IF(AND(Assumptions!Y$201&gt;Contract_Register!$T$7,MOD(Assumptions!Y$201-Contract_Register!$T$7,12)=0),(1+Assumptions!$F$179)*IF(MOD(Assumptions!Y$201-Contract_Register!$T$7,Assumptions!$C$90)=0,1+Assumptions!$F$180,1),1))</f>
        <v>1.05678004576456</v>
      </c>
      <c r="Z85" s="107" t="n">
        <f aca="false">IF(Z$5="A",IF((Inputs_Actuals!Z9*Contract_Register!$K$7+Inputs_Actuals!Z42*Contract_Register!$L$7)=0,0,Inputs_Actuals!Z75/(Inputs_Actuals!Z9*Contract_Register!$K$7+Inputs_Actuals!Z42*Contract_Register!$L$7)),Y85*IF(AND(Assumptions!Z$201&gt;Contract_Register!$T$7,MOD(Assumptions!Z$201-Contract_Register!$T$7,12)=0),(1+Assumptions!$F$179)*IF(MOD(Assumptions!Z$201-Contract_Register!$T$7,Assumptions!$C$90)=0,1+Assumptions!$F$180,1),1))</f>
        <v>1.05678004576456</v>
      </c>
      <c r="AA85" s="107" t="n">
        <f aca="false">IF(AA$5="A",IF((Inputs_Actuals!AA9*Contract_Register!$K$7+Inputs_Actuals!AA42*Contract_Register!$L$7)=0,0,Inputs_Actuals!AA75/(Inputs_Actuals!AA9*Contract_Register!$K$7+Inputs_Actuals!AA42*Contract_Register!$L$7)),Z85*IF(AND(Assumptions!AA$201&gt;Contract_Register!$T$7,MOD(Assumptions!AA$201-Contract_Register!$T$7,12)=0),(1+Assumptions!$F$179)*IF(MOD(Assumptions!AA$201-Contract_Register!$T$7,Assumptions!$C$90)=0,1+Assumptions!$F$180,1),1))</f>
        <v>1.05678004576456</v>
      </c>
      <c r="AB85" s="107" t="n">
        <f aca="false">IF(AB$5="A",IF((Inputs_Actuals!AB9*Contract_Register!$K$7+Inputs_Actuals!AB42*Contract_Register!$L$7)=0,0,Inputs_Actuals!AB75/(Inputs_Actuals!AB9*Contract_Register!$K$7+Inputs_Actuals!AB42*Contract_Register!$L$7)),AA85*IF(AND(Assumptions!AB$201&gt;Contract_Register!$T$7,MOD(Assumptions!AB$201-Contract_Register!$T$7,12)=0),(1+Assumptions!$F$179)*IF(MOD(Assumptions!AB$201-Contract_Register!$T$7,Assumptions!$C$90)=0,1+Assumptions!$F$180,1),1))</f>
        <v>1.05678004576456</v>
      </c>
    </row>
    <row r="86" customFormat="false" ht="15" hidden="false" customHeight="false" outlineLevel="0" collapsed="false">
      <c r="A86" s="27" t="s">
        <v>814</v>
      </c>
      <c r="B86" s="63" t="s">
        <v>851</v>
      </c>
      <c r="C86" s="121" t="n">
        <f aca="false">P86</f>
        <v>1.02600025163563</v>
      </c>
      <c r="D86" s="121" t="n">
        <f aca="false">AB86</f>
        <v>1.0567802591847</v>
      </c>
      <c r="E86" s="107" t="n">
        <f aca="false">IF(E$5="A",IF((Inputs_Actuals!E10*Contract_Register!$K$8+Inputs_Actuals!E43*Contract_Register!$L$8)=0,0,Inputs_Actuals!E76/(Inputs_Actuals!E10*Contract_Register!$K$8+Inputs_Actuals!E43*Contract_Register!$L$8)),1*IF(AND(Assumptions!E$201&gt;Contract_Register!$T$8,MOD(Assumptions!E$201-Contract_Register!$T$8,12)=0),(1+Assumptions!$F$179)*IF(MOD(Assumptions!E$201-Contract_Register!$T$8,Assumptions!$C$90)=0,1+Assumptions!$F$180,1),1))</f>
        <v>1</v>
      </c>
      <c r="F86" s="107" t="n">
        <f aca="false">IF(F$5="A",IF((Inputs_Actuals!F10*Contract_Register!$K$8+Inputs_Actuals!F43*Contract_Register!$L$8)=0,0,Inputs_Actuals!F76/(Inputs_Actuals!F10*Contract_Register!$K$8+Inputs_Actuals!F43*Contract_Register!$L$8)),E86*IF(AND(Assumptions!F$201&gt;Contract_Register!$T$8,MOD(Assumptions!F$201-Contract_Register!$T$8,12)=0),(1+Assumptions!$F$179)*IF(MOD(Assumptions!F$201-Contract_Register!$T$8,Assumptions!$C$90)=0,1+Assumptions!$F$180,1),1))</f>
        <v>1</v>
      </c>
      <c r="G86" s="107" t="n">
        <f aca="false">IF(G$5="A",IF((Inputs_Actuals!G10*Contract_Register!$K$8+Inputs_Actuals!G43*Contract_Register!$L$8)=0,0,Inputs_Actuals!G76/(Inputs_Actuals!G10*Contract_Register!$K$8+Inputs_Actuals!G43*Contract_Register!$L$8)),F86*IF(AND(Assumptions!G$201&gt;Contract_Register!$T$8,MOD(Assumptions!G$201-Contract_Register!$T$8,12)=0),(1+Assumptions!$F$179)*IF(MOD(Assumptions!G$201-Contract_Register!$T$8,Assumptions!$C$90)=0,1+Assumptions!$F$180,1),1))</f>
        <v>1</v>
      </c>
      <c r="H86" s="107" t="n">
        <f aca="false">IF(H$5="A",IF((Inputs_Actuals!H10*Contract_Register!$K$8+Inputs_Actuals!H43*Contract_Register!$L$8)=0,0,Inputs_Actuals!H76/(Inputs_Actuals!H10*Contract_Register!$K$8+Inputs_Actuals!H43*Contract_Register!$L$8)),G86*IF(AND(Assumptions!H$201&gt;Contract_Register!$T$8,MOD(Assumptions!H$201-Contract_Register!$T$8,12)=0),(1+Assumptions!$F$179)*IF(MOD(Assumptions!H$201-Contract_Register!$T$8,Assumptions!$C$90)=0,1+Assumptions!$F$180,1),1))</f>
        <v>1.02599987205732</v>
      </c>
      <c r="I86" s="107" t="n">
        <f aca="false">IF(I$5="A",IF((Inputs_Actuals!I10*Contract_Register!$K$8+Inputs_Actuals!I43*Contract_Register!$L$8)=0,0,Inputs_Actuals!I76/(Inputs_Actuals!I10*Contract_Register!$K$8+Inputs_Actuals!I43*Contract_Register!$L$8)),H86*IF(AND(Assumptions!I$201&gt;Contract_Register!$T$8,MOD(Assumptions!I$201-Contract_Register!$T$8,12)=0),(1+Assumptions!$F$179)*IF(MOD(Assumptions!I$201-Contract_Register!$T$8,Assumptions!$C$90)=0,1+Assumptions!$F$180,1),1))</f>
        <v>1.026</v>
      </c>
      <c r="J86" s="107" t="n">
        <f aca="false">IF(J$5="A",IF((Inputs_Actuals!J10*Contract_Register!$K$8+Inputs_Actuals!J43*Contract_Register!$L$8)=0,0,Inputs_Actuals!J76/(Inputs_Actuals!J10*Contract_Register!$K$8+Inputs_Actuals!J43*Contract_Register!$L$8)),I86*IF(AND(Assumptions!J$201&gt;Contract_Register!$T$8,MOD(Assumptions!J$201-Contract_Register!$T$8,12)=0),(1+Assumptions!$F$179)*IF(MOD(Assumptions!J$201-Contract_Register!$T$8,Assumptions!$C$90)=0,1+Assumptions!$F$180,1),1))</f>
        <v>1.0259997462573</v>
      </c>
      <c r="K86" s="107" t="n">
        <f aca="false">IF(K$5="A",IF((Inputs_Actuals!K10*Contract_Register!$K$8+Inputs_Actuals!K43*Contract_Register!$L$8)=0,0,Inputs_Actuals!K76/(Inputs_Actuals!K10*Contract_Register!$K$8+Inputs_Actuals!K43*Contract_Register!$L$8)),J86*IF(AND(Assumptions!K$201&gt;Contract_Register!$T$8,MOD(Assumptions!K$201-Contract_Register!$T$8,12)=0),(1+Assumptions!$F$179)*IF(MOD(Assumptions!K$201-Contract_Register!$T$8,Assumptions!$C$90)=0,1+Assumptions!$F$180,1),1))</f>
        <v>1.02600012651822</v>
      </c>
      <c r="L86" s="107" t="n">
        <f aca="false">IF(L$5="A",IF((Inputs_Actuals!L10*Contract_Register!$K$8+Inputs_Actuals!L43*Contract_Register!$L$8)=0,0,Inputs_Actuals!L76/(Inputs_Actuals!L10*Contract_Register!$K$8+Inputs_Actuals!L43*Contract_Register!$L$8)),K86*IF(AND(Assumptions!L$201&gt;Contract_Register!$T$8,MOD(Assumptions!L$201-Contract_Register!$T$8,12)=0),(1+Assumptions!$F$179)*IF(MOD(Assumptions!L$201-Contract_Register!$T$8,Assumptions!$C$90)=0,1+Assumptions!$F$180,1),1))</f>
        <v>1.02600025163563</v>
      </c>
      <c r="M86" s="107" t="n">
        <f aca="false">IF(M$5="A",IF((Inputs_Actuals!M10*Contract_Register!$K$8+Inputs_Actuals!M43*Contract_Register!$L$8)=0,0,Inputs_Actuals!M76/(Inputs_Actuals!M10*Contract_Register!$K$8+Inputs_Actuals!M43*Contract_Register!$L$8)),L86*IF(AND(Assumptions!M$201&gt;Contract_Register!$T$8,MOD(Assumptions!M$201-Contract_Register!$T$8,12)=0),(1+Assumptions!$F$179)*IF(MOD(Assumptions!M$201-Contract_Register!$T$8,Assumptions!$C$90)=0,1+Assumptions!$F$180,1),1))</f>
        <v>1.02600025163563</v>
      </c>
      <c r="N86" s="107" t="n">
        <f aca="false">IF(N$5="A",IF((Inputs_Actuals!N10*Contract_Register!$K$8+Inputs_Actuals!N43*Contract_Register!$L$8)=0,0,Inputs_Actuals!N76/(Inputs_Actuals!N10*Contract_Register!$K$8+Inputs_Actuals!N43*Contract_Register!$L$8)),M86*IF(AND(Assumptions!N$201&gt;Contract_Register!$T$8,MOD(Assumptions!N$201-Contract_Register!$T$8,12)=0),(1+Assumptions!$F$179)*IF(MOD(Assumptions!N$201-Contract_Register!$T$8,Assumptions!$C$90)=0,1+Assumptions!$F$180,1),1))</f>
        <v>1.02600025163563</v>
      </c>
      <c r="O86" s="107" t="n">
        <f aca="false">IF(O$5="A",IF((Inputs_Actuals!O10*Contract_Register!$K$8+Inputs_Actuals!O43*Contract_Register!$L$8)=0,0,Inputs_Actuals!O76/(Inputs_Actuals!O10*Contract_Register!$K$8+Inputs_Actuals!O43*Contract_Register!$L$8)),N86*IF(AND(Assumptions!O$201&gt;Contract_Register!$T$8,MOD(Assumptions!O$201-Contract_Register!$T$8,12)=0),(1+Assumptions!$F$179)*IF(MOD(Assumptions!O$201-Contract_Register!$T$8,Assumptions!$C$90)=0,1+Assumptions!$F$180,1),1))</f>
        <v>1.02600025163563</v>
      </c>
      <c r="P86" s="107" t="n">
        <f aca="false">IF(P$5="A",IF((Inputs_Actuals!P10*Contract_Register!$K$8+Inputs_Actuals!P43*Contract_Register!$L$8)=0,0,Inputs_Actuals!P76/(Inputs_Actuals!P10*Contract_Register!$K$8+Inputs_Actuals!P43*Contract_Register!$L$8)),O86*IF(AND(Assumptions!P$201&gt;Contract_Register!$T$8,MOD(Assumptions!P$201-Contract_Register!$T$8,12)=0),(1+Assumptions!$F$179)*IF(MOD(Assumptions!P$201-Contract_Register!$T$8,Assumptions!$C$90)=0,1+Assumptions!$F$180,1),1))</f>
        <v>1.02600025163563</v>
      </c>
      <c r="Q86" s="107" t="n">
        <f aca="false">IF(Q$5="A",IF((Inputs_Actuals!Q10*Contract_Register!$K$8+Inputs_Actuals!Q43*Contract_Register!$L$8)=0,0,Inputs_Actuals!Q76/(Inputs_Actuals!Q10*Contract_Register!$K$8+Inputs_Actuals!Q43*Contract_Register!$L$8)),P86*IF(AND(Assumptions!Q$201&gt;Contract_Register!$T$8,MOD(Assumptions!Q$201-Contract_Register!$T$8,12)=0),(1+Assumptions!$F$179)*IF(MOD(Assumptions!Q$201-Contract_Register!$T$8,Assumptions!$C$90)=0,1+Assumptions!$F$180,1),1))</f>
        <v>1.02600025163563</v>
      </c>
      <c r="R86" s="107" t="n">
        <f aca="false">IF(R$5="A",IF((Inputs_Actuals!R10*Contract_Register!$K$8+Inputs_Actuals!R43*Contract_Register!$L$8)=0,0,Inputs_Actuals!R76/(Inputs_Actuals!R10*Contract_Register!$K$8+Inputs_Actuals!R43*Contract_Register!$L$8)),Q86*IF(AND(Assumptions!R$201&gt;Contract_Register!$T$8,MOD(Assumptions!R$201-Contract_Register!$T$8,12)=0),(1+Assumptions!$F$179)*IF(MOD(Assumptions!R$201-Contract_Register!$T$8,Assumptions!$C$90)=0,1+Assumptions!$F$180,1),1))</f>
        <v>1.02600025163563</v>
      </c>
      <c r="S86" s="107" t="n">
        <f aca="false">IF(S$5="A",IF((Inputs_Actuals!S10*Contract_Register!$K$8+Inputs_Actuals!S43*Contract_Register!$L$8)=0,0,Inputs_Actuals!S76/(Inputs_Actuals!S10*Contract_Register!$K$8+Inputs_Actuals!S43*Contract_Register!$L$8)),R86*IF(AND(Assumptions!S$201&gt;Contract_Register!$T$8,MOD(Assumptions!S$201-Contract_Register!$T$8,12)=0),(1+Assumptions!$F$179)*IF(MOD(Assumptions!S$201-Contract_Register!$T$8,Assumptions!$C$90)=0,1+Assumptions!$F$180,1),1))</f>
        <v>1.02600025163563</v>
      </c>
      <c r="T86" s="107" t="n">
        <f aca="false">IF(T$5="A",IF((Inputs_Actuals!T10*Contract_Register!$K$8+Inputs_Actuals!T43*Contract_Register!$L$8)=0,0,Inputs_Actuals!T76/(Inputs_Actuals!T10*Contract_Register!$K$8+Inputs_Actuals!T43*Contract_Register!$L$8)),S86*IF(AND(Assumptions!T$201&gt;Contract_Register!$T$8,MOD(Assumptions!T$201-Contract_Register!$T$8,12)=0),(1+Assumptions!$F$179)*IF(MOD(Assumptions!T$201-Contract_Register!$T$8,Assumptions!$C$90)=0,1+Assumptions!$F$180,1),1))</f>
        <v>1.0567802591847</v>
      </c>
      <c r="U86" s="107" t="n">
        <f aca="false">IF(U$5="A",IF((Inputs_Actuals!U10*Contract_Register!$K$8+Inputs_Actuals!U43*Contract_Register!$L$8)=0,0,Inputs_Actuals!U76/(Inputs_Actuals!U10*Contract_Register!$K$8+Inputs_Actuals!U43*Contract_Register!$L$8)),T86*IF(AND(Assumptions!U$201&gt;Contract_Register!$T$8,MOD(Assumptions!U$201-Contract_Register!$T$8,12)=0),(1+Assumptions!$F$179)*IF(MOD(Assumptions!U$201-Contract_Register!$T$8,Assumptions!$C$90)=0,1+Assumptions!$F$180,1),1))</f>
        <v>1.0567802591847</v>
      </c>
      <c r="V86" s="107" t="n">
        <f aca="false">IF(V$5="A",IF((Inputs_Actuals!V10*Contract_Register!$K$8+Inputs_Actuals!V43*Contract_Register!$L$8)=0,0,Inputs_Actuals!V76/(Inputs_Actuals!V10*Contract_Register!$K$8+Inputs_Actuals!V43*Contract_Register!$L$8)),U86*IF(AND(Assumptions!V$201&gt;Contract_Register!$T$8,MOD(Assumptions!V$201-Contract_Register!$T$8,12)=0),(1+Assumptions!$F$179)*IF(MOD(Assumptions!V$201-Contract_Register!$T$8,Assumptions!$C$90)=0,1+Assumptions!$F$180,1),1))</f>
        <v>1.0567802591847</v>
      </c>
      <c r="W86" s="107" t="n">
        <f aca="false">IF(W$5="A",IF((Inputs_Actuals!W10*Contract_Register!$K$8+Inputs_Actuals!W43*Contract_Register!$L$8)=0,0,Inputs_Actuals!W76/(Inputs_Actuals!W10*Contract_Register!$K$8+Inputs_Actuals!W43*Contract_Register!$L$8)),V86*IF(AND(Assumptions!W$201&gt;Contract_Register!$T$8,MOD(Assumptions!W$201-Contract_Register!$T$8,12)=0),(1+Assumptions!$F$179)*IF(MOD(Assumptions!W$201-Contract_Register!$T$8,Assumptions!$C$90)=0,1+Assumptions!$F$180,1),1))</f>
        <v>1.0567802591847</v>
      </c>
      <c r="X86" s="107" t="n">
        <f aca="false">IF(X$5="A",IF((Inputs_Actuals!X10*Contract_Register!$K$8+Inputs_Actuals!X43*Contract_Register!$L$8)=0,0,Inputs_Actuals!X76/(Inputs_Actuals!X10*Contract_Register!$K$8+Inputs_Actuals!X43*Contract_Register!$L$8)),W86*IF(AND(Assumptions!X$201&gt;Contract_Register!$T$8,MOD(Assumptions!X$201-Contract_Register!$T$8,12)=0),(1+Assumptions!$F$179)*IF(MOD(Assumptions!X$201-Contract_Register!$T$8,Assumptions!$C$90)=0,1+Assumptions!$F$180,1),1))</f>
        <v>1.0567802591847</v>
      </c>
      <c r="Y86" s="107" t="n">
        <f aca="false">IF(Y$5="A",IF((Inputs_Actuals!Y10*Contract_Register!$K$8+Inputs_Actuals!Y43*Contract_Register!$L$8)=0,0,Inputs_Actuals!Y76/(Inputs_Actuals!Y10*Contract_Register!$K$8+Inputs_Actuals!Y43*Contract_Register!$L$8)),X86*IF(AND(Assumptions!Y$201&gt;Contract_Register!$T$8,MOD(Assumptions!Y$201-Contract_Register!$T$8,12)=0),(1+Assumptions!$F$179)*IF(MOD(Assumptions!Y$201-Contract_Register!$T$8,Assumptions!$C$90)=0,1+Assumptions!$F$180,1),1))</f>
        <v>1.0567802591847</v>
      </c>
      <c r="Z86" s="107" t="n">
        <f aca="false">IF(Z$5="A",IF((Inputs_Actuals!Z10*Contract_Register!$K$8+Inputs_Actuals!Z43*Contract_Register!$L$8)=0,0,Inputs_Actuals!Z76/(Inputs_Actuals!Z10*Contract_Register!$K$8+Inputs_Actuals!Z43*Contract_Register!$L$8)),Y86*IF(AND(Assumptions!Z$201&gt;Contract_Register!$T$8,MOD(Assumptions!Z$201-Contract_Register!$T$8,12)=0),(1+Assumptions!$F$179)*IF(MOD(Assumptions!Z$201-Contract_Register!$T$8,Assumptions!$C$90)=0,1+Assumptions!$F$180,1),1))</f>
        <v>1.0567802591847</v>
      </c>
      <c r="AA86" s="107" t="n">
        <f aca="false">IF(AA$5="A",IF((Inputs_Actuals!AA10*Contract_Register!$K$8+Inputs_Actuals!AA43*Contract_Register!$L$8)=0,0,Inputs_Actuals!AA76/(Inputs_Actuals!AA10*Contract_Register!$K$8+Inputs_Actuals!AA43*Contract_Register!$L$8)),Z86*IF(AND(Assumptions!AA$201&gt;Contract_Register!$T$8,MOD(Assumptions!AA$201-Contract_Register!$T$8,12)=0),(1+Assumptions!$F$179)*IF(MOD(Assumptions!AA$201-Contract_Register!$T$8,Assumptions!$C$90)=0,1+Assumptions!$F$180,1),1))</f>
        <v>1.0567802591847</v>
      </c>
      <c r="AB86" s="107" t="n">
        <f aca="false">IF(AB$5="A",IF((Inputs_Actuals!AB10*Contract_Register!$K$8+Inputs_Actuals!AB43*Contract_Register!$L$8)=0,0,Inputs_Actuals!AB76/(Inputs_Actuals!AB10*Contract_Register!$K$8+Inputs_Actuals!AB43*Contract_Register!$L$8)),AA86*IF(AND(Assumptions!AB$201&gt;Contract_Register!$T$8,MOD(Assumptions!AB$201-Contract_Register!$T$8,12)=0),(1+Assumptions!$F$179)*IF(MOD(Assumptions!AB$201-Contract_Register!$T$8,Assumptions!$C$90)=0,1+Assumptions!$F$180,1),1))</f>
        <v>1.0567802591847</v>
      </c>
    </row>
    <row r="87" customFormat="false" ht="15" hidden="false" customHeight="false" outlineLevel="0" collapsed="false">
      <c r="A87" s="27" t="s">
        <v>815</v>
      </c>
      <c r="B87" s="63" t="s">
        <v>851</v>
      </c>
      <c r="C87" s="121" t="n">
        <f aca="false">P87</f>
        <v>1.03</v>
      </c>
      <c r="D87" s="121" t="n">
        <f aca="false">AB87</f>
        <v>1.0609</v>
      </c>
      <c r="E87" s="107" t="n">
        <f aca="false">IF(E$5="A",IF((Inputs_Actuals!E11*Contract_Register!$K$9+Inputs_Actuals!E44*Contract_Register!$L$9)=0,0,Inputs_Actuals!E77/(Inputs_Actuals!E11*Contract_Register!$K$9+Inputs_Actuals!E44*Contract_Register!$L$9)),1*IF(AND(Assumptions!E$201&gt;Contract_Register!$T$9,MOD(Assumptions!E$201-Contract_Register!$T$9,12)=0),(1+Assumptions!$F$179)*IF(MOD(Assumptions!E$201-Contract_Register!$T$9,Assumptions!$C$90)=0,1+Assumptions!$F$180,1),1))</f>
        <v>1</v>
      </c>
      <c r="F87" s="107" t="n">
        <f aca="false">IF(F$5="A",IF((Inputs_Actuals!F11*Contract_Register!$K$9+Inputs_Actuals!F44*Contract_Register!$L$9)=0,0,Inputs_Actuals!F77/(Inputs_Actuals!F11*Contract_Register!$K$9+Inputs_Actuals!F44*Contract_Register!$L$9)),E87*IF(AND(Assumptions!F$201&gt;Contract_Register!$T$9,MOD(Assumptions!F$201-Contract_Register!$T$9,12)=0),(1+Assumptions!$F$179)*IF(MOD(Assumptions!F$201-Contract_Register!$T$9,Assumptions!$C$90)=0,1+Assumptions!$F$180,1),1))</f>
        <v>1</v>
      </c>
      <c r="G87" s="107" t="n">
        <f aca="false">IF(G$5="A",IF((Inputs_Actuals!G11*Contract_Register!$K$9+Inputs_Actuals!G44*Contract_Register!$L$9)=0,0,Inputs_Actuals!G77/(Inputs_Actuals!G11*Contract_Register!$K$9+Inputs_Actuals!G44*Contract_Register!$L$9)),F87*IF(AND(Assumptions!G$201&gt;Contract_Register!$T$9,MOD(Assumptions!G$201-Contract_Register!$T$9,12)=0),(1+Assumptions!$F$179)*IF(MOD(Assumptions!G$201-Contract_Register!$T$9,Assumptions!$C$90)=0,1+Assumptions!$F$180,1),1))</f>
        <v>1</v>
      </c>
      <c r="H87" s="107" t="n">
        <f aca="false">IF(H$5="A",IF((Inputs_Actuals!H11*Contract_Register!$K$9+Inputs_Actuals!H44*Contract_Register!$L$9)=0,0,Inputs_Actuals!H77/(Inputs_Actuals!H11*Contract_Register!$K$9+Inputs_Actuals!H44*Contract_Register!$L$9)),G87*IF(AND(Assumptions!H$201&gt;Contract_Register!$T$9,MOD(Assumptions!H$201-Contract_Register!$T$9,12)=0),(1+Assumptions!$F$179)*IF(MOD(Assumptions!H$201-Contract_Register!$T$9,Assumptions!$C$90)=0,1+Assumptions!$F$180,1),1))</f>
        <v>1</v>
      </c>
      <c r="I87" s="107" t="n">
        <f aca="false">IF(I$5="A",IF((Inputs_Actuals!I11*Contract_Register!$K$9+Inputs_Actuals!I44*Contract_Register!$L$9)=0,0,Inputs_Actuals!I77/(Inputs_Actuals!I11*Contract_Register!$K$9+Inputs_Actuals!I44*Contract_Register!$L$9)),H87*IF(AND(Assumptions!I$201&gt;Contract_Register!$T$9,MOD(Assumptions!I$201-Contract_Register!$T$9,12)=0),(1+Assumptions!$F$179)*IF(MOD(Assumptions!I$201-Contract_Register!$T$9,Assumptions!$C$90)=0,1+Assumptions!$F$180,1),1))</f>
        <v>1</v>
      </c>
      <c r="J87" s="107" t="n">
        <f aca="false">IF(J$5="A",IF((Inputs_Actuals!J11*Contract_Register!$K$9+Inputs_Actuals!J44*Contract_Register!$L$9)=0,0,Inputs_Actuals!J77/(Inputs_Actuals!J11*Contract_Register!$K$9+Inputs_Actuals!J44*Contract_Register!$L$9)),I87*IF(AND(Assumptions!J$201&gt;Contract_Register!$T$9,MOD(Assumptions!J$201-Contract_Register!$T$9,12)=0),(1+Assumptions!$F$179)*IF(MOD(Assumptions!J$201-Contract_Register!$T$9,Assumptions!$C$90)=0,1+Assumptions!$F$180,1),1))</f>
        <v>1</v>
      </c>
      <c r="K87" s="107" t="n">
        <f aca="false">IF(K$5="A",IF((Inputs_Actuals!K11*Contract_Register!$K$9+Inputs_Actuals!K44*Contract_Register!$L$9)=0,0,Inputs_Actuals!K77/(Inputs_Actuals!K11*Contract_Register!$K$9+Inputs_Actuals!K44*Contract_Register!$L$9)),J87*IF(AND(Assumptions!K$201&gt;Contract_Register!$T$9,MOD(Assumptions!K$201-Contract_Register!$T$9,12)=0),(1+Assumptions!$F$179)*IF(MOD(Assumptions!K$201-Contract_Register!$T$9,Assumptions!$C$90)=0,1+Assumptions!$F$180,1),1))</f>
        <v>1</v>
      </c>
      <c r="L87" s="107" t="n">
        <f aca="false">IF(L$5="A",IF((Inputs_Actuals!L11*Contract_Register!$K$9+Inputs_Actuals!L44*Contract_Register!$L$9)=0,0,Inputs_Actuals!L77/(Inputs_Actuals!L11*Contract_Register!$K$9+Inputs_Actuals!L44*Contract_Register!$L$9)),K87*IF(AND(Assumptions!L$201&gt;Contract_Register!$T$9,MOD(Assumptions!L$201-Contract_Register!$T$9,12)=0),(1+Assumptions!$F$179)*IF(MOD(Assumptions!L$201-Contract_Register!$T$9,Assumptions!$C$90)=0,1+Assumptions!$F$180,1),1))</f>
        <v>1</v>
      </c>
      <c r="M87" s="107" t="n">
        <f aca="false">IF(M$5="A",IF((Inputs_Actuals!M11*Contract_Register!$K$9+Inputs_Actuals!M44*Contract_Register!$L$9)=0,0,Inputs_Actuals!M77/(Inputs_Actuals!M11*Contract_Register!$K$9+Inputs_Actuals!M44*Contract_Register!$L$9)),L87*IF(AND(Assumptions!M$201&gt;Contract_Register!$T$9,MOD(Assumptions!M$201-Contract_Register!$T$9,12)=0),(1+Assumptions!$F$179)*IF(MOD(Assumptions!M$201-Contract_Register!$T$9,Assumptions!$C$90)=0,1+Assumptions!$F$180,1),1))</f>
        <v>1</v>
      </c>
      <c r="N87" s="107" t="n">
        <f aca="false">IF(N$5="A",IF((Inputs_Actuals!N11*Contract_Register!$K$9+Inputs_Actuals!N44*Contract_Register!$L$9)=0,0,Inputs_Actuals!N77/(Inputs_Actuals!N11*Contract_Register!$K$9+Inputs_Actuals!N44*Contract_Register!$L$9)),M87*IF(AND(Assumptions!N$201&gt;Contract_Register!$T$9,MOD(Assumptions!N$201-Contract_Register!$T$9,12)=0),(1+Assumptions!$F$179)*IF(MOD(Assumptions!N$201-Contract_Register!$T$9,Assumptions!$C$90)=0,1+Assumptions!$F$180,1),1))</f>
        <v>1.03</v>
      </c>
      <c r="O87" s="107" t="n">
        <f aca="false">IF(O$5="A",IF((Inputs_Actuals!O11*Contract_Register!$K$9+Inputs_Actuals!O44*Contract_Register!$L$9)=0,0,Inputs_Actuals!O77/(Inputs_Actuals!O11*Contract_Register!$K$9+Inputs_Actuals!O44*Contract_Register!$L$9)),N87*IF(AND(Assumptions!O$201&gt;Contract_Register!$T$9,MOD(Assumptions!O$201-Contract_Register!$T$9,12)=0),(1+Assumptions!$F$179)*IF(MOD(Assumptions!O$201-Contract_Register!$T$9,Assumptions!$C$90)=0,1+Assumptions!$F$180,1),1))</f>
        <v>1.03</v>
      </c>
      <c r="P87" s="107" t="n">
        <f aca="false">IF(P$5="A",IF((Inputs_Actuals!P11*Contract_Register!$K$9+Inputs_Actuals!P44*Contract_Register!$L$9)=0,0,Inputs_Actuals!P77/(Inputs_Actuals!P11*Contract_Register!$K$9+Inputs_Actuals!P44*Contract_Register!$L$9)),O87*IF(AND(Assumptions!P$201&gt;Contract_Register!$T$9,MOD(Assumptions!P$201-Contract_Register!$T$9,12)=0),(1+Assumptions!$F$179)*IF(MOD(Assumptions!P$201-Contract_Register!$T$9,Assumptions!$C$90)=0,1+Assumptions!$F$180,1),1))</f>
        <v>1.03</v>
      </c>
      <c r="Q87" s="107" t="n">
        <f aca="false">IF(Q$5="A",IF((Inputs_Actuals!Q11*Contract_Register!$K$9+Inputs_Actuals!Q44*Contract_Register!$L$9)=0,0,Inputs_Actuals!Q77/(Inputs_Actuals!Q11*Contract_Register!$K$9+Inputs_Actuals!Q44*Contract_Register!$L$9)),P87*IF(AND(Assumptions!Q$201&gt;Contract_Register!$T$9,MOD(Assumptions!Q$201-Contract_Register!$T$9,12)=0),(1+Assumptions!$F$179)*IF(MOD(Assumptions!Q$201-Contract_Register!$T$9,Assumptions!$C$90)=0,1+Assumptions!$F$180,1),1))</f>
        <v>1.03</v>
      </c>
      <c r="R87" s="107" t="n">
        <f aca="false">IF(R$5="A",IF((Inputs_Actuals!R11*Contract_Register!$K$9+Inputs_Actuals!R44*Contract_Register!$L$9)=0,0,Inputs_Actuals!R77/(Inputs_Actuals!R11*Contract_Register!$K$9+Inputs_Actuals!R44*Contract_Register!$L$9)),Q87*IF(AND(Assumptions!R$201&gt;Contract_Register!$T$9,MOD(Assumptions!R$201-Contract_Register!$T$9,12)=0),(1+Assumptions!$F$179)*IF(MOD(Assumptions!R$201-Contract_Register!$T$9,Assumptions!$C$90)=0,1+Assumptions!$F$180,1),1))</f>
        <v>1.03</v>
      </c>
      <c r="S87" s="107" t="n">
        <f aca="false">IF(S$5="A",IF((Inputs_Actuals!S11*Contract_Register!$K$9+Inputs_Actuals!S44*Contract_Register!$L$9)=0,0,Inputs_Actuals!S77/(Inputs_Actuals!S11*Contract_Register!$K$9+Inputs_Actuals!S44*Contract_Register!$L$9)),R87*IF(AND(Assumptions!S$201&gt;Contract_Register!$T$9,MOD(Assumptions!S$201-Contract_Register!$T$9,12)=0),(1+Assumptions!$F$179)*IF(MOD(Assumptions!S$201-Contract_Register!$T$9,Assumptions!$C$90)=0,1+Assumptions!$F$180,1),1))</f>
        <v>1.03</v>
      </c>
      <c r="T87" s="107" t="n">
        <f aca="false">IF(T$5="A",IF((Inputs_Actuals!T11*Contract_Register!$K$9+Inputs_Actuals!T44*Contract_Register!$L$9)=0,0,Inputs_Actuals!T77/(Inputs_Actuals!T11*Contract_Register!$K$9+Inputs_Actuals!T44*Contract_Register!$L$9)),S87*IF(AND(Assumptions!T$201&gt;Contract_Register!$T$9,MOD(Assumptions!T$201-Contract_Register!$T$9,12)=0),(1+Assumptions!$F$179)*IF(MOD(Assumptions!T$201-Contract_Register!$T$9,Assumptions!$C$90)=0,1+Assumptions!$F$180,1),1))</f>
        <v>1.03</v>
      </c>
      <c r="U87" s="107" t="n">
        <f aca="false">IF(U$5="A",IF((Inputs_Actuals!U11*Contract_Register!$K$9+Inputs_Actuals!U44*Contract_Register!$L$9)=0,0,Inputs_Actuals!U77/(Inputs_Actuals!U11*Contract_Register!$K$9+Inputs_Actuals!U44*Contract_Register!$L$9)),T87*IF(AND(Assumptions!U$201&gt;Contract_Register!$T$9,MOD(Assumptions!U$201-Contract_Register!$T$9,12)=0),(1+Assumptions!$F$179)*IF(MOD(Assumptions!U$201-Contract_Register!$T$9,Assumptions!$C$90)=0,1+Assumptions!$F$180,1),1))</f>
        <v>1.03</v>
      </c>
      <c r="V87" s="107" t="n">
        <f aca="false">IF(V$5="A",IF((Inputs_Actuals!V11*Contract_Register!$K$9+Inputs_Actuals!V44*Contract_Register!$L$9)=0,0,Inputs_Actuals!V77/(Inputs_Actuals!V11*Contract_Register!$K$9+Inputs_Actuals!V44*Contract_Register!$L$9)),U87*IF(AND(Assumptions!V$201&gt;Contract_Register!$T$9,MOD(Assumptions!V$201-Contract_Register!$T$9,12)=0),(1+Assumptions!$F$179)*IF(MOD(Assumptions!V$201-Contract_Register!$T$9,Assumptions!$C$90)=0,1+Assumptions!$F$180,1),1))</f>
        <v>1.03</v>
      </c>
      <c r="W87" s="107" t="n">
        <f aca="false">IF(W$5="A",IF((Inputs_Actuals!W11*Contract_Register!$K$9+Inputs_Actuals!W44*Contract_Register!$L$9)=0,0,Inputs_Actuals!W77/(Inputs_Actuals!W11*Contract_Register!$K$9+Inputs_Actuals!W44*Contract_Register!$L$9)),V87*IF(AND(Assumptions!W$201&gt;Contract_Register!$T$9,MOD(Assumptions!W$201-Contract_Register!$T$9,12)=0),(1+Assumptions!$F$179)*IF(MOD(Assumptions!W$201-Contract_Register!$T$9,Assumptions!$C$90)=0,1+Assumptions!$F$180,1),1))</f>
        <v>1.03</v>
      </c>
      <c r="X87" s="107" t="n">
        <f aca="false">IF(X$5="A",IF((Inputs_Actuals!X11*Contract_Register!$K$9+Inputs_Actuals!X44*Contract_Register!$L$9)=0,0,Inputs_Actuals!X77/(Inputs_Actuals!X11*Contract_Register!$K$9+Inputs_Actuals!X44*Contract_Register!$L$9)),W87*IF(AND(Assumptions!X$201&gt;Contract_Register!$T$9,MOD(Assumptions!X$201-Contract_Register!$T$9,12)=0),(1+Assumptions!$F$179)*IF(MOD(Assumptions!X$201-Contract_Register!$T$9,Assumptions!$C$90)=0,1+Assumptions!$F$180,1),1))</f>
        <v>1.03</v>
      </c>
      <c r="Y87" s="107" t="n">
        <f aca="false">IF(Y$5="A",IF((Inputs_Actuals!Y11*Contract_Register!$K$9+Inputs_Actuals!Y44*Contract_Register!$L$9)=0,0,Inputs_Actuals!Y77/(Inputs_Actuals!Y11*Contract_Register!$K$9+Inputs_Actuals!Y44*Contract_Register!$L$9)),X87*IF(AND(Assumptions!Y$201&gt;Contract_Register!$T$9,MOD(Assumptions!Y$201-Contract_Register!$T$9,12)=0),(1+Assumptions!$F$179)*IF(MOD(Assumptions!Y$201-Contract_Register!$T$9,Assumptions!$C$90)=0,1+Assumptions!$F$180,1),1))</f>
        <v>1.03</v>
      </c>
      <c r="Z87" s="107" t="n">
        <f aca="false">IF(Z$5="A",IF((Inputs_Actuals!Z11*Contract_Register!$K$9+Inputs_Actuals!Z44*Contract_Register!$L$9)=0,0,Inputs_Actuals!Z77/(Inputs_Actuals!Z11*Contract_Register!$K$9+Inputs_Actuals!Z44*Contract_Register!$L$9)),Y87*IF(AND(Assumptions!Z$201&gt;Contract_Register!$T$9,MOD(Assumptions!Z$201-Contract_Register!$T$9,12)=0),(1+Assumptions!$F$179)*IF(MOD(Assumptions!Z$201-Contract_Register!$T$9,Assumptions!$C$90)=0,1+Assumptions!$F$180,1),1))</f>
        <v>1.0609</v>
      </c>
      <c r="AA87" s="107" t="n">
        <f aca="false">IF(AA$5="A",IF((Inputs_Actuals!AA11*Contract_Register!$K$9+Inputs_Actuals!AA44*Contract_Register!$L$9)=0,0,Inputs_Actuals!AA77/(Inputs_Actuals!AA11*Contract_Register!$K$9+Inputs_Actuals!AA44*Contract_Register!$L$9)),Z87*IF(AND(Assumptions!AA$201&gt;Contract_Register!$T$9,MOD(Assumptions!AA$201-Contract_Register!$T$9,12)=0),(1+Assumptions!$F$179)*IF(MOD(Assumptions!AA$201-Contract_Register!$T$9,Assumptions!$C$90)=0,1+Assumptions!$F$180,1),1))</f>
        <v>1.0609</v>
      </c>
      <c r="AB87" s="107" t="n">
        <f aca="false">IF(AB$5="A",IF((Inputs_Actuals!AB11*Contract_Register!$K$9+Inputs_Actuals!AB44*Contract_Register!$L$9)=0,0,Inputs_Actuals!AB77/(Inputs_Actuals!AB11*Contract_Register!$K$9+Inputs_Actuals!AB44*Contract_Register!$L$9)),AA87*IF(AND(Assumptions!AB$201&gt;Contract_Register!$T$9,MOD(Assumptions!AB$201-Contract_Register!$T$9,12)=0),(1+Assumptions!$F$179)*IF(MOD(Assumptions!AB$201-Contract_Register!$T$9,Assumptions!$C$90)=0,1+Assumptions!$F$180,1),1))</f>
        <v>1.0609</v>
      </c>
    </row>
    <row r="88" customFormat="false" ht="15" hidden="false" customHeight="false" outlineLevel="0" collapsed="false">
      <c r="A88" s="27" t="s">
        <v>816</v>
      </c>
      <c r="B88" s="63" t="s">
        <v>851</v>
      </c>
      <c r="C88" s="121" t="n">
        <f aca="false">P88</f>
        <v>1.02600060827251</v>
      </c>
      <c r="D88" s="121" t="n">
        <f aca="false">AB88</f>
        <v>1.05678062652068</v>
      </c>
      <c r="E88" s="107" t="n">
        <f aca="false">IF(E$5="A",IF((Inputs_Actuals!E12*Contract_Register!$K$10+Inputs_Actuals!E45*Contract_Register!$L$10)=0,0,Inputs_Actuals!E78/(Inputs_Actuals!E12*Contract_Register!$K$10+Inputs_Actuals!E45*Contract_Register!$L$10)),1*IF(AND(Assumptions!E$201&gt;Contract_Register!$T$10,MOD(Assumptions!E$201-Contract_Register!$T$10,12)=0),(1+Assumptions!$F$179)*IF(MOD(Assumptions!E$201-Contract_Register!$T$10,Assumptions!$C$90)=0,1+Assumptions!$F$180,1),1))</f>
        <v>1</v>
      </c>
      <c r="F88" s="107" t="n">
        <f aca="false">IF(F$5="A",IF((Inputs_Actuals!F12*Contract_Register!$K$10+Inputs_Actuals!F45*Contract_Register!$L$10)=0,0,Inputs_Actuals!F78/(Inputs_Actuals!F12*Contract_Register!$K$10+Inputs_Actuals!F45*Contract_Register!$L$10)),E88*IF(AND(Assumptions!F$201&gt;Contract_Register!$T$10,MOD(Assumptions!F$201-Contract_Register!$T$10,12)=0),(1+Assumptions!$F$179)*IF(MOD(Assumptions!F$201-Contract_Register!$T$10,Assumptions!$C$90)=0,1+Assumptions!$F$180,1),1))</f>
        <v>1</v>
      </c>
      <c r="G88" s="107" t="n">
        <f aca="false">IF(G$5="A",IF((Inputs_Actuals!G12*Contract_Register!$K$10+Inputs_Actuals!G45*Contract_Register!$L$10)=0,0,Inputs_Actuals!G78/(Inputs_Actuals!G12*Contract_Register!$K$10+Inputs_Actuals!G45*Contract_Register!$L$10)),F88*IF(AND(Assumptions!G$201&gt;Contract_Register!$T$10,MOD(Assumptions!G$201-Contract_Register!$T$10,12)=0),(1+Assumptions!$F$179)*IF(MOD(Assumptions!G$201-Contract_Register!$T$10,Assumptions!$C$90)=0,1+Assumptions!$F$180,1),1))</f>
        <v>1.02599938687922</v>
      </c>
      <c r="H88" s="107" t="n">
        <f aca="false">IF(H$5="A",IF((Inputs_Actuals!H12*Contract_Register!$K$10+Inputs_Actuals!H45*Contract_Register!$L$10)=0,0,Inputs_Actuals!H78/(Inputs_Actuals!H12*Contract_Register!$K$10+Inputs_Actuals!H45*Contract_Register!$L$10)),G88*IF(AND(Assumptions!H$201&gt;Contract_Register!$T$10,MOD(Assumptions!H$201-Contract_Register!$T$10,12)=0),(1+Assumptions!$F$179)*IF(MOD(Assumptions!H$201-Contract_Register!$T$10,Assumptions!$C$90)=0,1+Assumptions!$F$180,1),1))</f>
        <v>1.02600060827251</v>
      </c>
      <c r="I88" s="107" t="n">
        <f aca="false">IF(I$5="A",IF((Inputs_Actuals!I12*Contract_Register!$K$10+Inputs_Actuals!I45*Contract_Register!$L$10)=0,0,Inputs_Actuals!I78/(Inputs_Actuals!I12*Contract_Register!$K$10+Inputs_Actuals!I45*Contract_Register!$L$10)),H88*IF(AND(Assumptions!I$201&gt;Contract_Register!$T$10,MOD(Assumptions!I$201-Contract_Register!$T$10,12)=0),(1+Assumptions!$F$179)*IF(MOD(Assumptions!I$201-Contract_Register!$T$10,Assumptions!$C$90)=0,1+Assumptions!$F$180,1),1))</f>
        <v>1.02600060827251</v>
      </c>
      <c r="J88" s="107" t="n">
        <f aca="false">IF(J$5="A",IF((Inputs_Actuals!J12*Contract_Register!$K$10+Inputs_Actuals!J45*Contract_Register!$L$10)=0,0,Inputs_Actuals!J78/(Inputs_Actuals!J12*Contract_Register!$K$10+Inputs_Actuals!J45*Contract_Register!$L$10)),I88*IF(AND(Assumptions!J$201&gt;Contract_Register!$T$10,MOD(Assumptions!J$201-Contract_Register!$T$10,12)=0),(1+Assumptions!$F$179)*IF(MOD(Assumptions!J$201-Contract_Register!$T$10,Assumptions!$C$90)=0,1+Assumptions!$F$180,1),1))</f>
        <v>1.02600060827251</v>
      </c>
      <c r="K88" s="107" t="n">
        <f aca="false">IF(K$5="A",IF((Inputs_Actuals!K12*Contract_Register!$K$10+Inputs_Actuals!K45*Contract_Register!$L$10)=0,0,Inputs_Actuals!K78/(Inputs_Actuals!K12*Contract_Register!$K$10+Inputs_Actuals!K45*Contract_Register!$L$10)),J88*IF(AND(Assumptions!K$201&gt;Contract_Register!$T$10,MOD(Assumptions!K$201-Contract_Register!$T$10,12)=0),(1+Assumptions!$F$179)*IF(MOD(Assumptions!K$201-Contract_Register!$T$10,Assumptions!$C$90)=0,1+Assumptions!$F$180,1),1))</f>
        <v>1.02599938687922</v>
      </c>
      <c r="L88" s="107" t="n">
        <f aca="false">IF(L$5="A",IF((Inputs_Actuals!L12*Contract_Register!$K$10+Inputs_Actuals!L45*Contract_Register!$L$10)=0,0,Inputs_Actuals!L78/(Inputs_Actuals!L12*Contract_Register!$K$10+Inputs_Actuals!L45*Contract_Register!$L$10)),K88*IF(AND(Assumptions!L$201&gt;Contract_Register!$T$10,MOD(Assumptions!L$201-Contract_Register!$T$10,12)=0),(1+Assumptions!$F$179)*IF(MOD(Assumptions!L$201-Contract_Register!$T$10,Assumptions!$C$90)=0,1+Assumptions!$F$180,1),1))</f>
        <v>1.02600060827251</v>
      </c>
      <c r="M88" s="107" t="n">
        <f aca="false">IF(M$5="A",IF((Inputs_Actuals!M12*Contract_Register!$K$10+Inputs_Actuals!M45*Contract_Register!$L$10)=0,0,Inputs_Actuals!M78/(Inputs_Actuals!M12*Contract_Register!$K$10+Inputs_Actuals!M45*Contract_Register!$L$10)),L88*IF(AND(Assumptions!M$201&gt;Contract_Register!$T$10,MOD(Assumptions!M$201-Contract_Register!$T$10,12)=0),(1+Assumptions!$F$179)*IF(MOD(Assumptions!M$201-Contract_Register!$T$10,Assumptions!$C$90)=0,1+Assumptions!$F$180,1),1))</f>
        <v>1.02600060827251</v>
      </c>
      <c r="N88" s="107" t="n">
        <f aca="false">IF(N$5="A",IF((Inputs_Actuals!N12*Contract_Register!$K$10+Inputs_Actuals!N45*Contract_Register!$L$10)=0,0,Inputs_Actuals!N78/(Inputs_Actuals!N12*Contract_Register!$K$10+Inputs_Actuals!N45*Contract_Register!$L$10)),M88*IF(AND(Assumptions!N$201&gt;Contract_Register!$T$10,MOD(Assumptions!N$201-Contract_Register!$T$10,12)=0),(1+Assumptions!$F$179)*IF(MOD(Assumptions!N$201-Contract_Register!$T$10,Assumptions!$C$90)=0,1+Assumptions!$F$180,1),1))</f>
        <v>1.02600060827251</v>
      </c>
      <c r="O88" s="107" t="n">
        <f aca="false">IF(O$5="A",IF((Inputs_Actuals!O12*Contract_Register!$K$10+Inputs_Actuals!O45*Contract_Register!$L$10)=0,0,Inputs_Actuals!O78/(Inputs_Actuals!O12*Contract_Register!$K$10+Inputs_Actuals!O45*Contract_Register!$L$10)),N88*IF(AND(Assumptions!O$201&gt;Contract_Register!$T$10,MOD(Assumptions!O$201-Contract_Register!$T$10,12)=0),(1+Assumptions!$F$179)*IF(MOD(Assumptions!O$201-Contract_Register!$T$10,Assumptions!$C$90)=0,1+Assumptions!$F$180,1),1))</f>
        <v>1.02600060827251</v>
      </c>
      <c r="P88" s="107" t="n">
        <f aca="false">IF(P$5="A",IF((Inputs_Actuals!P12*Contract_Register!$K$10+Inputs_Actuals!P45*Contract_Register!$L$10)=0,0,Inputs_Actuals!P78/(Inputs_Actuals!P12*Contract_Register!$K$10+Inputs_Actuals!P45*Contract_Register!$L$10)),O88*IF(AND(Assumptions!P$201&gt;Contract_Register!$T$10,MOD(Assumptions!P$201-Contract_Register!$T$10,12)=0),(1+Assumptions!$F$179)*IF(MOD(Assumptions!P$201-Contract_Register!$T$10,Assumptions!$C$90)=0,1+Assumptions!$F$180,1),1))</f>
        <v>1.02600060827251</v>
      </c>
      <c r="Q88" s="107" t="n">
        <f aca="false">IF(Q$5="A",IF((Inputs_Actuals!Q12*Contract_Register!$K$10+Inputs_Actuals!Q45*Contract_Register!$L$10)=0,0,Inputs_Actuals!Q78/(Inputs_Actuals!Q12*Contract_Register!$K$10+Inputs_Actuals!Q45*Contract_Register!$L$10)),P88*IF(AND(Assumptions!Q$201&gt;Contract_Register!$T$10,MOD(Assumptions!Q$201-Contract_Register!$T$10,12)=0),(1+Assumptions!$F$179)*IF(MOD(Assumptions!Q$201-Contract_Register!$T$10,Assumptions!$C$90)=0,1+Assumptions!$F$180,1),1))</f>
        <v>1.02600060827251</v>
      </c>
      <c r="R88" s="107" t="n">
        <f aca="false">IF(R$5="A",IF((Inputs_Actuals!R12*Contract_Register!$K$10+Inputs_Actuals!R45*Contract_Register!$L$10)=0,0,Inputs_Actuals!R78/(Inputs_Actuals!R12*Contract_Register!$K$10+Inputs_Actuals!R45*Contract_Register!$L$10)),Q88*IF(AND(Assumptions!R$201&gt;Contract_Register!$T$10,MOD(Assumptions!R$201-Contract_Register!$T$10,12)=0),(1+Assumptions!$F$179)*IF(MOD(Assumptions!R$201-Contract_Register!$T$10,Assumptions!$C$90)=0,1+Assumptions!$F$180,1),1))</f>
        <v>1.02600060827251</v>
      </c>
      <c r="S88" s="107" t="n">
        <f aca="false">IF(S$5="A",IF((Inputs_Actuals!S12*Contract_Register!$K$10+Inputs_Actuals!S45*Contract_Register!$L$10)=0,0,Inputs_Actuals!S78/(Inputs_Actuals!S12*Contract_Register!$K$10+Inputs_Actuals!S45*Contract_Register!$L$10)),R88*IF(AND(Assumptions!S$201&gt;Contract_Register!$T$10,MOD(Assumptions!S$201-Contract_Register!$T$10,12)=0),(1+Assumptions!$F$179)*IF(MOD(Assumptions!S$201-Contract_Register!$T$10,Assumptions!$C$90)=0,1+Assumptions!$F$180,1),1))</f>
        <v>1.05678062652068</v>
      </c>
      <c r="T88" s="107" t="n">
        <f aca="false">IF(T$5="A",IF((Inputs_Actuals!T12*Contract_Register!$K$10+Inputs_Actuals!T45*Contract_Register!$L$10)=0,0,Inputs_Actuals!T78/(Inputs_Actuals!T12*Contract_Register!$K$10+Inputs_Actuals!T45*Contract_Register!$L$10)),S88*IF(AND(Assumptions!T$201&gt;Contract_Register!$T$10,MOD(Assumptions!T$201-Contract_Register!$T$10,12)=0),(1+Assumptions!$F$179)*IF(MOD(Assumptions!T$201-Contract_Register!$T$10,Assumptions!$C$90)=0,1+Assumptions!$F$180,1),1))</f>
        <v>1.05678062652068</v>
      </c>
      <c r="U88" s="107" t="n">
        <f aca="false">IF(U$5="A",IF((Inputs_Actuals!U12*Contract_Register!$K$10+Inputs_Actuals!U45*Contract_Register!$L$10)=0,0,Inputs_Actuals!U78/(Inputs_Actuals!U12*Contract_Register!$K$10+Inputs_Actuals!U45*Contract_Register!$L$10)),T88*IF(AND(Assumptions!U$201&gt;Contract_Register!$T$10,MOD(Assumptions!U$201-Contract_Register!$T$10,12)=0),(1+Assumptions!$F$179)*IF(MOD(Assumptions!U$201-Contract_Register!$T$10,Assumptions!$C$90)=0,1+Assumptions!$F$180,1),1))</f>
        <v>1.05678062652068</v>
      </c>
      <c r="V88" s="107" t="n">
        <f aca="false">IF(V$5="A",IF((Inputs_Actuals!V12*Contract_Register!$K$10+Inputs_Actuals!V45*Contract_Register!$L$10)=0,0,Inputs_Actuals!V78/(Inputs_Actuals!V12*Contract_Register!$K$10+Inputs_Actuals!V45*Contract_Register!$L$10)),U88*IF(AND(Assumptions!V$201&gt;Contract_Register!$T$10,MOD(Assumptions!V$201-Contract_Register!$T$10,12)=0),(1+Assumptions!$F$179)*IF(MOD(Assumptions!V$201-Contract_Register!$T$10,Assumptions!$C$90)=0,1+Assumptions!$F$180,1),1))</f>
        <v>1.05678062652068</v>
      </c>
      <c r="W88" s="107" t="n">
        <f aca="false">IF(W$5="A",IF((Inputs_Actuals!W12*Contract_Register!$K$10+Inputs_Actuals!W45*Contract_Register!$L$10)=0,0,Inputs_Actuals!W78/(Inputs_Actuals!W12*Contract_Register!$K$10+Inputs_Actuals!W45*Contract_Register!$L$10)),V88*IF(AND(Assumptions!W$201&gt;Contract_Register!$T$10,MOD(Assumptions!W$201-Contract_Register!$T$10,12)=0),(1+Assumptions!$F$179)*IF(MOD(Assumptions!W$201-Contract_Register!$T$10,Assumptions!$C$90)=0,1+Assumptions!$F$180,1),1))</f>
        <v>1.05678062652068</v>
      </c>
      <c r="X88" s="107" t="n">
        <f aca="false">IF(X$5="A",IF((Inputs_Actuals!X12*Contract_Register!$K$10+Inputs_Actuals!X45*Contract_Register!$L$10)=0,0,Inputs_Actuals!X78/(Inputs_Actuals!X12*Contract_Register!$K$10+Inputs_Actuals!X45*Contract_Register!$L$10)),W88*IF(AND(Assumptions!X$201&gt;Contract_Register!$T$10,MOD(Assumptions!X$201-Contract_Register!$T$10,12)=0),(1+Assumptions!$F$179)*IF(MOD(Assumptions!X$201-Contract_Register!$T$10,Assumptions!$C$90)=0,1+Assumptions!$F$180,1),1))</f>
        <v>1.05678062652068</v>
      </c>
      <c r="Y88" s="107" t="n">
        <f aca="false">IF(Y$5="A",IF((Inputs_Actuals!Y12*Contract_Register!$K$10+Inputs_Actuals!Y45*Contract_Register!$L$10)=0,0,Inputs_Actuals!Y78/(Inputs_Actuals!Y12*Contract_Register!$K$10+Inputs_Actuals!Y45*Contract_Register!$L$10)),X88*IF(AND(Assumptions!Y$201&gt;Contract_Register!$T$10,MOD(Assumptions!Y$201-Contract_Register!$T$10,12)=0),(1+Assumptions!$F$179)*IF(MOD(Assumptions!Y$201-Contract_Register!$T$10,Assumptions!$C$90)=0,1+Assumptions!$F$180,1),1))</f>
        <v>1.05678062652068</v>
      </c>
      <c r="Z88" s="107" t="n">
        <f aca="false">IF(Z$5="A",IF((Inputs_Actuals!Z12*Contract_Register!$K$10+Inputs_Actuals!Z45*Contract_Register!$L$10)=0,0,Inputs_Actuals!Z78/(Inputs_Actuals!Z12*Contract_Register!$K$10+Inputs_Actuals!Z45*Contract_Register!$L$10)),Y88*IF(AND(Assumptions!Z$201&gt;Contract_Register!$T$10,MOD(Assumptions!Z$201-Contract_Register!$T$10,12)=0),(1+Assumptions!$F$179)*IF(MOD(Assumptions!Z$201-Contract_Register!$T$10,Assumptions!$C$90)=0,1+Assumptions!$F$180,1),1))</f>
        <v>1.05678062652068</v>
      </c>
      <c r="AA88" s="107" t="n">
        <f aca="false">IF(AA$5="A",IF((Inputs_Actuals!AA12*Contract_Register!$K$10+Inputs_Actuals!AA45*Contract_Register!$L$10)=0,0,Inputs_Actuals!AA78/(Inputs_Actuals!AA12*Contract_Register!$K$10+Inputs_Actuals!AA45*Contract_Register!$L$10)),Z88*IF(AND(Assumptions!AA$201&gt;Contract_Register!$T$10,MOD(Assumptions!AA$201-Contract_Register!$T$10,12)=0),(1+Assumptions!$F$179)*IF(MOD(Assumptions!AA$201-Contract_Register!$T$10,Assumptions!$C$90)=0,1+Assumptions!$F$180,1),1))</f>
        <v>1.05678062652068</v>
      </c>
      <c r="AB88" s="107" t="n">
        <f aca="false">IF(AB$5="A",IF((Inputs_Actuals!AB12*Contract_Register!$K$10+Inputs_Actuals!AB45*Contract_Register!$L$10)=0,0,Inputs_Actuals!AB78/(Inputs_Actuals!AB12*Contract_Register!$K$10+Inputs_Actuals!AB45*Contract_Register!$L$10)),AA88*IF(AND(Assumptions!AB$201&gt;Contract_Register!$T$10,MOD(Assumptions!AB$201-Contract_Register!$T$10,12)=0),(1+Assumptions!$F$179)*IF(MOD(Assumptions!AB$201-Contract_Register!$T$10,Assumptions!$C$90)=0,1+Assumptions!$F$180,1),1))</f>
        <v>1.05678062652068</v>
      </c>
    </row>
    <row r="89" customFormat="false" ht="15" hidden="false" customHeight="false" outlineLevel="0" collapsed="false">
      <c r="A89" s="27" t="s">
        <v>817</v>
      </c>
      <c r="B89" s="63" t="s">
        <v>851</v>
      </c>
      <c r="C89" s="121" t="n">
        <f aca="false">P89</f>
        <v>1.02599984942027</v>
      </c>
      <c r="D89" s="121" t="n">
        <f aca="false">AB89</f>
        <v>1.05677984490288</v>
      </c>
      <c r="E89" s="107" t="n">
        <f aca="false">IF(E$5="A",IF((Inputs_Actuals!E13*Contract_Register!$K$11+Inputs_Actuals!E46*Contract_Register!$L$11)=0,0,Inputs_Actuals!E79/(Inputs_Actuals!E13*Contract_Register!$K$11+Inputs_Actuals!E46*Contract_Register!$L$11)),1*IF(AND(Assumptions!E$201&gt;Contract_Register!$T$11,MOD(Assumptions!E$201-Contract_Register!$T$11,12)=0),(1+Assumptions!$F$179)*IF(MOD(Assumptions!E$201-Contract_Register!$T$11,Assumptions!$C$90)=0,1+Assumptions!$F$180,1),1))</f>
        <v>1</v>
      </c>
      <c r="F89" s="107" t="n">
        <f aca="false">IF(F$5="A",IF((Inputs_Actuals!F13*Contract_Register!$K$11+Inputs_Actuals!F46*Contract_Register!$L$11)=0,0,Inputs_Actuals!F79/(Inputs_Actuals!F13*Contract_Register!$K$11+Inputs_Actuals!F46*Contract_Register!$L$11)),E89*IF(AND(Assumptions!F$201&gt;Contract_Register!$T$11,MOD(Assumptions!F$201-Contract_Register!$T$11,12)=0),(1+Assumptions!$F$179)*IF(MOD(Assumptions!F$201-Contract_Register!$T$11,Assumptions!$C$90)=0,1+Assumptions!$F$180,1),1))</f>
        <v>1</v>
      </c>
      <c r="G89" s="107" t="n">
        <f aca="false">IF(G$5="A",IF((Inputs_Actuals!G13*Contract_Register!$K$11+Inputs_Actuals!G46*Contract_Register!$L$11)=0,0,Inputs_Actuals!G79/(Inputs_Actuals!G13*Contract_Register!$K$11+Inputs_Actuals!G46*Contract_Register!$L$11)),F89*IF(AND(Assumptions!G$201&gt;Contract_Register!$T$11,MOD(Assumptions!G$201-Contract_Register!$T$11,12)=0),(1+Assumptions!$F$179)*IF(MOD(Assumptions!G$201-Contract_Register!$T$11,Assumptions!$C$90)=0,1+Assumptions!$F$180,1),1))</f>
        <v>1</v>
      </c>
      <c r="H89" s="107" t="n">
        <f aca="false">IF(H$5="A",IF((Inputs_Actuals!H13*Contract_Register!$K$11+Inputs_Actuals!H46*Contract_Register!$L$11)=0,0,Inputs_Actuals!H79/(Inputs_Actuals!H13*Contract_Register!$K$11+Inputs_Actuals!H46*Contract_Register!$L$11)),G89*IF(AND(Assumptions!H$201&gt;Contract_Register!$T$11,MOD(Assumptions!H$201-Contract_Register!$T$11,12)=0),(1+Assumptions!$F$179)*IF(MOD(Assumptions!H$201-Contract_Register!$T$11,Assumptions!$C$90)=0,1+Assumptions!$F$180,1),1))</f>
        <v>1</v>
      </c>
      <c r="I89" s="107" t="n">
        <f aca="false">IF(I$5="A",IF((Inputs_Actuals!I13*Contract_Register!$K$11+Inputs_Actuals!I46*Contract_Register!$L$11)=0,0,Inputs_Actuals!I79/(Inputs_Actuals!I13*Contract_Register!$K$11+Inputs_Actuals!I46*Contract_Register!$L$11)),H89*IF(AND(Assumptions!I$201&gt;Contract_Register!$T$11,MOD(Assumptions!I$201-Contract_Register!$T$11,12)=0),(1+Assumptions!$F$179)*IF(MOD(Assumptions!I$201-Contract_Register!$T$11,Assumptions!$C$90)=0,1+Assumptions!$F$180,1),1))</f>
        <v>1</v>
      </c>
      <c r="J89" s="107" t="n">
        <f aca="false">IF(J$5="A",IF((Inputs_Actuals!J13*Contract_Register!$K$11+Inputs_Actuals!J46*Contract_Register!$L$11)=0,0,Inputs_Actuals!J79/(Inputs_Actuals!J13*Contract_Register!$K$11+Inputs_Actuals!J46*Contract_Register!$L$11)),I89*IF(AND(Assumptions!J$201&gt;Contract_Register!$T$11,MOD(Assumptions!J$201-Contract_Register!$T$11,12)=0),(1+Assumptions!$F$179)*IF(MOD(Assumptions!J$201-Contract_Register!$T$11,Assumptions!$C$90)=0,1+Assumptions!$F$180,1),1))</f>
        <v>1</v>
      </c>
      <c r="K89" s="107" t="n">
        <f aca="false">IF(K$5="A",IF((Inputs_Actuals!K13*Contract_Register!$K$11+Inputs_Actuals!K46*Contract_Register!$L$11)=0,0,Inputs_Actuals!K79/(Inputs_Actuals!K13*Contract_Register!$K$11+Inputs_Actuals!K46*Contract_Register!$L$11)),J89*IF(AND(Assumptions!K$201&gt;Contract_Register!$T$11,MOD(Assumptions!K$201-Contract_Register!$T$11,12)=0),(1+Assumptions!$F$179)*IF(MOD(Assumptions!K$201-Contract_Register!$T$11,Assumptions!$C$90)=0,1+Assumptions!$F$180,1),1))</f>
        <v>1</v>
      </c>
      <c r="L89" s="107" t="n">
        <f aca="false">IF(L$5="A",IF((Inputs_Actuals!L13*Contract_Register!$K$11+Inputs_Actuals!L46*Contract_Register!$L$11)=0,0,Inputs_Actuals!L79/(Inputs_Actuals!L13*Contract_Register!$K$11+Inputs_Actuals!L46*Contract_Register!$L$11)),K89*IF(AND(Assumptions!L$201&gt;Contract_Register!$T$11,MOD(Assumptions!L$201-Contract_Register!$T$11,12)=0),(1+Assumptions!$F$179)*IF(MOD(Assumptions!L$201-Contract_Register!$T$11,Assumptions!$C$90)=0,1+Assumptions!$F$180,1),1))</f>
        <v>1.02599984942027</v>
      </c>
      <c r="M89" s="107" t="n">
        <f aca="false">IF(M$5="A",IF((Inputs_Actuals!M13*Contract_Register!$K$11+Inputs_Actuals!M46*Contract_Register!$L$11)=0,0,Inputs_Actuals!M79/(Inputs_Actuals!M13*Contract_Register!$K$11+Inputs_Actuals!M46*Contract_Register!$L$11)),L89*IF(AND(Assumptions!M$201&gt;Contract_Register!$T$11,MOD(Assumptions!M$201-Contract_Register!$T$11,12)=0),(1+Assumptions!$F$179)*IF(MOD(Assumptions!M$201-Contract_Register!$T$11,Assumptions!$C$90)=0,1+Assumptions!$F$180,1),1))</f>
        <v>1.02599984942027</v>
      </c>
      <c r="N89" s="107" t="n">
        <f aca="false">IF(N$5="A",IF((Inputs_Actuals!N13*Contract_Register!$K$11+Inputs_Actuals!N46*Contract_Register!$L$11)=0,0,Inputs_Actuals!N79/(Inputs_Actuals!N13*Contract_Register!$K$11+Inputs_Actuals!N46*Contract_Register!$L$11)),M89*IF(AND(Assumptions!N$201&gt;Contract_Register!$T$11,MOD(Assumptions!N$201-Contract_Register!$T$11,12)=0),(1+Assumptions!$F$179)*IF(MOD(Assumptions!N$201-Contract_Register!$T$11,Assumptions!$C$90)=0,1+Assumptions!$F$180,1),1))</f>
        <v>1.02599984942027</v>
      </c>
      <c r="O89" s="107" t="n">
        <f aca="false">IF(O$5="A",IF((Inputs_Actuals!O13*Contract_Register!$K$11+Inputs_Actuals!O46*Contract_Register!$L$11)=0,0,Inputs_Actuals!O79/(Inputs_Actuals!O13*Contract_Register!$K$11+Inputs_Actuals!O46*Contract_Register!$L$11)),N89*IF(AND(Assumptions!O$201&gt;Contract_Register!$T$11,MOD(Assumptions!O$201-Contract_Register!$T$11,12)=0),(1+Assumptions!$F$179)*IF(MOD(Assumptions!O$201-Contract_Register!$T$11,Assumptions!$C$90)=0,1+Assumptions!$F$180,1),1))</f>
        <v>1.02599984942027</v>
      </c>
      <c r="P89" s="107" t="n">
        <f aca="false">IF(P$5="A",IF((Inputs_Actuals!P13*Contract_Register!$K$11+Inputs_Actuals!P46*Contract_Register!$L$11)=0,0,Inputs_Actuals!P79/(Inputs_Actuals!P13*Contract_Register!$K$11+Inputs_Actuals!P46*Contract_Register!$L$11)),O89*IF(AND(Assumptions!P$201&gt;Contract_Register!$T$11,MOD(Assumptions!P$201-Contract_Register!$T$11,12)=0),(1+Assumptions!$F$179)*IF(MOD(Assumptions!P$201-Contract_Register!$T$11,Assumptions!$C$90)=0,1+Assumptions!$F$180,1),1))</f>
        <v>1.02599984942027</v>
      </c>
      <c r="Q89" s="107" t="n">
        <f aca="false">IF(Q$5="A",IF((Inputs_Actuals!Q13*Contract_Register!$K$11+Inputs_Actuals!Q46*Contract_Register!$L$11)=0,0,Inputs_Actuals!Q79/(Inputs_Actuals!Q13*Contract_Register!$K$11+Inputs_Actuals!Q46*Contract_Register!$L$11)),P89*IF(AND(Assumptions!Q$201&gt;Contract_Register!$T$11,MOD(Assumptions!Q$201-Contract_Register!$T$11,12)=0),(1+Assumptions!$F$179)*IF(MOD(Assumptions!Q$201-Contract_Register!$T$11,Assumptions!$C$90)=0,1+Assumptions!$F$180,1),1))</f>
        <v>1.02599984942027</v>
      </c>
      <c r="R89" s="107" t="n">
        <f aca="false">IF(R$5="A",IF((Inputs_Actuals!R13*Contract_Register!$K$11+Inputs_Actuals!R46*Contract_Register!$L$11)=0,0,Inputs_Actuals!R79/(Inputs_Actuals!R13*Contract_Register!$K$11+Inputs_Actuals!R46*Contract_Register!$L$11)),Q89*IF(AND(Assumptions!R$201&gt;Contract_Register!$T$11,MOD(Assumptions!R$201-Contract_Register!$T$11,12)=0),(1+Assumptions!$F$179)*IF(MOD(Assumptions!R$201-Contract_Register!$T$11,Assumptions!$C$90)=0,1+Assumptions!$F$180,1),1))</f>
        <v>1.02599984942027</v>
      </c>
      <c r="S89" s="107" t="n">
        <f aca="false">IF(S$5="A",IF((Inputs_Actuals!S13*Contract_Register!$K$11+Inputs_Actuals!S46*Contract_Register!$L$11)=0,0,Inputs_Actuals!S79/(Inputs_Actuals!S13*Contract_Register!$K$11+Inputs_Actuals!S46*Contract_Register!$L$11)),R89*IF(AND(Assumptions!S$201&gt;Contract_Register!$T$11,MOD(Assumptions!S$201-Contract_Register!$T$11,12)=0),(1+Assumptions!$F$179)*IF(MOD(Assumptions!S$201-Contract_Register!$T$11,Assumptions!$C$90)=0,1+Assumptions!$F$180,1),1))</f>
        <v>1.02599984942027</v>
      </c>
      <c r="T89" s="107" t="n">
        <f aca="false">IF(T$5="A",IF((Inputs_Actuals!T13*Contract_Register!$K$11+Inputs_Actuals!T46*Contract_Register!$L$11)=0,0,Inputs_Actuals!T79/(Inputs_Actuals!T13*Contract_Register!$K$11+Inputs_Actuals!T46*Contract_Register!$L$11)),S89*IF(AND(Assumptions!T$201&gt;Contract_Register!$T$11,MOD(Assumptions!T$201-Contract_Register!$T$11,12)=0),(1+Assumptions!$F$179)*IF(MOD(Assumptions!T$201-Contract_Register!$T$11,Assumptions!$C$90)=0,1+Assumptions!$F$180,1),1))</f>
        <v>1.02599984942027</v>
      </c>
      <c r="U89" s="107" t="n">
        <f aca="false">IF(U$5="A",IF((Inputs_Actuals!U13*Contract_Register!$K$11+Inputs_Actuals!U46*Contract_Register!$L$11)=0,0,Inputs_Actuals!U79/(Inputs_Actuals!U13*Contract_Register!$K$11+Inputs_Actuals!U46*Contract_Register!$L$11)),T89*IF(AND(Assumptions!U$201&gt;Contract_Register!$T$11,MOD(Assumptions!U$201-Contract_Register!$T$11,12)=0),(1+Assumptions!$F$179)*IF(MOD(Assumptions!U$201-Contract_Register!$T$11,Assumptions!$C$90)=0,1+Assumptions!$F$180,1),1))</f>
        <v>1.02599984942027</v>
      </c>
      <c r="V89" s="107" t="n">
        <f aca="false">IF(V$5="A",IF((Inputs_Actuals!V13*Contract_Register!$K$11+Inputs_Actuals!V46*Contract_Register!$L$11)=0,0,Inputs_Actuals!V79/(Inputs_Actuals!V13*Contract_Register!$K$11+Inputs_Actuals!V46*Contract_Register!$L$11)),U89*IF(AND(Assumptions!V$201&gt;Contract_Register!$T$11,MOD(Assumptions!V$201-Contract_Register!$T$11,12)=0),(1+Assumptions!$F$179)*IF(MOD(Assumptions!V$201-Contract_Register!$T$11,Assumptions!$C$90)=0,1+Assumptions!$F$180,1),1))</f>
        <v>1.02599984942027</v>
      </c>
      <c r="W89" s="107" t="n">
        <f aca="false">IF(W$5="A",IF((Inputs_Actuals!W13*Contract_Register!$K$11+Inputs_Actuals!W46*Contract_Register!$L$11)=0,0,Inputs_Actuals!W79/(Inputs_Actuals!W13*Contract_Register!$K$11+Inputs_Actuals!W46*Contract_Register!$L$11)),V89*IF(AND(Assumptions!W$201&gt;Contract_Register!$T$11,MOD(Assumptions!W$201-Contract_Register!$T$11,12)=0),(1+Assumptions!$F$179)*IF(MOD(Assumptions!W$201-Contract_Register!$T$11,Assumptions!$C$90)=0,1+Assumptions!$F$180,1),1))</f>
        <v>1.02599984942027</v>
      </c>
      <c r="X89" s="107" t="n">
        <f aca="false">IF(X$5="A",IF((Inputs_Actuals!X13*Contract_Register!$K$11+Inputs_Actuals!X46*Contract_Register!$L$11)=0,0,Inputs_Actuals!X79/(Inputs_Actuals!X13*Contract_Register!$K$11+Inputs_Actuals!X46*Contract_Register!$L$11)),W89*IF(AND(Assumptions!X$201&gt;Contract_Register!$T$11,MOD(Assumptions!X$201-Contract_Register!$T$11,12)=0),(1+Assumptions!$F$179)*IF(MOD(Assumptions!X$201-Contract_Register!$T$11,Assumptions!$C$90)=0,1+Assumptions!$F$180,1),1))</f>
        <v>1.05677984490288</v>
      </c>
      <c r="Y89" s="107" t="n">
        <f aca="false">IF(Y$5="A",IF((Inputs_Actuals!Y13*Contract_Register!$K$11+Inputs_Actuals!Y46*Contract_Register!$L$11)=0,0,Inputs_Actuals!Y79/(Inputs_Actuals!Y13*Contract_Register!$K$11+Inputs_Actuals!Y46*Contract_Register!$L$11)),X89*IF(AND(Assumptions!Y$201&gt;Contract_Register!$T$11,MOD(Assumptions!Y$201-Contract_Register!$T$11,12)=0),(1+Assumptions!$F$179)*IF(MOD(Assumptions!Y$201-Contract_Register!$T$11,Assumptions!$C$90)=0,1+Assumptions!$F$180,1),1))</f>
        <v>1.05677984490288</v>
      </c>
      <c r="Z89" s="107" t="n">
        <f aca="false">IF(Z$5="A",IF((Inputs_Actuals!Z13*Contract_Register!$K$11+Inputs_Actuals!Z46*Contract_Register!$L$11)=0,0,Inputs_Actuals!Z79/(Inputs_Actuals!Z13*Contract_Register!$K$11+Inputs_Actuals!Z46*Contract_Register!$L$11)),Y89*IF(AND(Assumptions!Z$201&gt;Contract_Register!$T$11,MOD(Assumptions!Z$201-Contract_Register!$T$11,12)=0),(1+Assumptions!$F$179)*IF(MOD(Assumptions!Z$201-Contract_Register!$T$11,Assumptions!$C$90)=0,1+Assumptions!$F$180,1),1))</f>
        <v>1.05677984490288</v>
      </c>
      <c r="AA89" s="107" t="n">
        <f aca="false">IF(AA$5="A",IF((Inputs_Actuals!AA13*Contract_Register!$K$11+Inputs_Actuals!AA46*Contract_Register!$L$11)=0,0,Inputs_Actuals!AA79/(Inputs_Actuals!AA13*Contract_Register!$K$11+Inputs_Actuals!AA46*Contract_Register!$L$11)),Z89*IF(AND(Assumptions!AA$201&gt;Contract_Register!$T$11,MOD(Assumptions!AA$201-Contract_Register!$T$11,12)=0),(1+Assumptions!$F$179)*IF(MOD(Assumptions!AA$201-Contract_Register!$T$11,Assumptions!$C$90)=0,1+Assumptions!$F$180,1),1))</f>
        <v>1.05677984490288</v>
      </c>
      <c r="AB89" s="107" t="n">
        <f aca="false">IF(AB$5="A",IF((Inputs_Actuals!AB13*Contract_Register!$K$11+Inputs_Actuals!AB46*Contract_Register!$L$11)=0,0,Inputs_Actuals!AB79/(Inputs_Actuals!AB13*Contract_Register!$K$11+Inputs_Actuals!AB46*Contract_Register!$L$11)),AA89*IF(AND(Assumptions!AB$201&gt;Contract_Register!$T$11,MOD(Assumptions!AB$201-Contract_Register!$T$11,12)=0),(1+Assumptions!$F$179)*IF(MOD(Assumptions!AB$201-Contract_Register!$T$11,Assumptions!$C$90)=0,1+Assumptions!$F$180,1),1))</f>
        <v>1.05677984490288</v>
      </c>
    </row>
    <row r="90" customFormat="false" ht="15" hidden="false" customHeight="false" outlineLevel="0" collapsed="false">
      <c r="A90" s="27" t="s">
        <v>818</v>
      </c>
      <c r="B90" s="63" t="s">
        <v>851</v>
      </c>
      <c r="C90" s="121" t="n">
        <f aca="false">P90</f>
        <v>1.02599972980276</v>
      </c>
      <c r="D90" s="121" t="n">
        <f aca="false">AB90</f>
        <v>1.05677972169684</v>
      </c>
      <c r="E90" s="107" t="n">
        <f aca="false">IF(E$5="A",IF((Inputs_Actuals!E14*Contract_Register!$K$12+Inputs_Actuals!E47*Contract_Register!$L$12)=0,0,Inputs_Actuals!E80/(Inputs_Actuals!E14*Contract_Register!$K$12+Inputs_Actuals!E47*Contract_Register!$L$12)),1*IF(AND(Assumptions!E$201&gt;Contract_Register!$T$12,MOD(Assumptions!E$201-Contract_Register!$T$12,12)=0),(1+Assumptions!$F$179)*IF(MOD(Assumptions!E$201-Contract_Register!$T$12,Assumptions!$C$90)=0,1+Assumptions!$F$180,1),1))</f>
        <v>1.02600054340443</v>
      </c>
      <c r="F90" s="107" t="n">
        <f aca="false">IF(F$5="A",IF((Inputs_Actuals!F14*Contract_Register!$K$12+Inputs_Actuals!F47*Contract_Register!$L$12)=0,0,Inputs_Actuals!F80/(Inputs_Actuals!F14*Contract_Register!$K$12+Inputs_Actuals!F47*Contract_Register!$L$12)),E90*IF(AND(Assumptions!F$201&gt;Contract_Register!$T$12,MOD(Assumptions!F$201-Contract_Register!$T$12,12)=0),(1+Assumptions!$F$179)*IF(MOD(Assumptions!F$201-Contract_Register!$T$12,Assumptions!$C$90)=0,1+Assumptions!$F$180,1),1))</f>
        <v>1.02600054340443</v>
      </c>
      <c r="G90" s="107" t="n">
        <f aca="false">IF(G$5="A",IF((Inputs_Actuals!G14*Contract_Register!$K$12+Inputs_Actuals!G47*Contract_Register!$L$12)=0,0,Inputs_Actuals!G80/(Inputs_Actuals!G14*Contract_Register!$K$12+Inputs_Actuals!G47*Contract_Register!$L$12)),F90*IF(AND(Assumptions!G$201&gt;Contract_Register!$T$12,MOD(Assumptions!G$201-Contract_Register!$T$12,12)=0),(1+Assumptions!$F$179)*IF(MOD(Assumptions!G$201-Contract_Register!$T$12,Assumptions!$C$90)=0,1+Assumptions!$F$180,1),1))</f>
        <v>1.02599972980276</v>
      </c>
      <c r="H90" s="107" t="n">
        <f aca="false">IF(H$5="A",IF((Inputs_Actuals!H14*Contract_Register!$K$12+Inputs_Actuals!H47*Contract_Register!$L$12)=0,0,Inputs_Actuals!H80/(Inputs_Actuals!H14*Contract_Register!$K$12+Inputs_Actuals!H47*Contract_Register!$L$12)),G90*IF(AND(Assumptions!H$201&gt;Contract_Register!$T$12,MOD(Assumptions!H$201-Contract_Register!$T$12,12)=0),(1+Assumptions!$F$179)*IF(MOD(Assumptions!H$201-Contract_Register!$T$12,Assumptions!$C$90)=0,1+Assumptions!$F$180,1),1))</f>
        <v>1.02599972980276</v>
      </c>
      <c r="I90" s="107" t="n">
        <f aca="false">IF(I$5="A",IF((Inputs_Actuals!I14*Contract_Register!$K$12+Inputs_Actuals!I47*Contract_Register!$L$12)=0,0,Inputs_Actuals!I80/(Inputs_Actuals!I14*Contract_Register!$K$12+Inputs_Actuals!I47*Contract_Register!$L$12)),H90*IF(AND(Assumptions!I$201&gt;Contract_Register!$T$12,MOD(Assumptions!I$201-Contract_Register!$T$12,12)=0),(1+Assumptions!$F$179)*IF(MOD(Assumptions!I$201-Contract_Register!$T$12,Assumptions!$C$90)=0,1+Assumptions!$F$180,1),1))</f>
        <v>1.02600054340443</v>
      </c>
      <c r="J90" s="107" t="n">
        <f aca="false">IF(J$5="A",IF((Inputs_Actuals!J14*Contract_Register!$K$12+Inputs_Actuals!J47*Contract_Register!$L$12)=0,0,Inputs_Actuals!J80/(Inputs_Actuals!J14*Contract_Register!$K$12+Inputs_Actuals!J47*Contract_Register!$L$12)),I90*IF(AND(Assumptions!J$201&gt;Contract_Register!$T$12,MOD(Assumptions!J$201-Contract_Register!$T$12,12)=0),(1+Assumptions!$F$179)*IF(MOD(Assumptions!J$201-Contract_Register!$T$12,Assumptions!$C$90)=0,1+Assumptions!$F$180,1),1))</f>
        <v>1.02599972980276</v>
      </c>
      <c r="K90" s="107" t="n">
        <f aca="false">IF(K$5="A",IF((Inputs_Actuals!K14*Contract_Register!$K$12+Inputs_Actuals!K47*Contract_Register!$L$12)=0,0,Inputs_Actuals!K80/(Inputs_Actuals!K14*Contract_Register!$K$12+Inputs_Actuals!K47*Contract_Register!$L$12)),J90*IF(AND(Assumptions!K$201&gt;Contract_Register!$T$12,MOD(Assumptions!K$201-Contract_Register!$T$12,12)=0),(1+Assumptions!$F$179)*IF(MOD(Assumptions!K$201-Contract_Register!$T$12,Assumptions!$C$90)=0,1+Assumptions!$F$180,1),1))</f>
        <v>1.02599972980276</v>
      </c>
      <c r="L90" s="107" t="n">
        <f aca="false">IF(L$5="A",IF((Inputs_Actuals!L14*Contract_Register!$K$12+Inputs_Actuals!L47*Contract_Register!$L$12)=0,0,Inputs_Actuals!L80/(Inputs_Actuals!L14*Contract_Register!$K$12+Inputs_Actuals!L47*Contract_Register!$L$12)),K90*IF(AND(Assumptions!L$201&gt;Contract_Register!$T$12,MOD(Assumptions!L$201-Contract_Register!$T$12,12)=0),(1+Assumptions!$F$179)*IF(MOD(Assumptions!L$201-Contract_Register!$T$12,Assumptions!$C$90)=0,1+Assumptions!$F$180,1),1))</f>
        <v>1.02599972980276</v>
      </c>
      <c r="M90" s="107" t="n">
        <f aca="false">IF(M$5="A",IF((Inputs_Actuals!M14*Contract_Register!$K$12+Inputs_Actuals!M47*Contract_Register!$L$12)=0,0,Inputs_Actuals!M80/(Inputs_Actuals!M14*Contract_Register!$K$12+Inputs_Actuals!M47*Contract_Register!$L$12)),L90*IF(AND(Assumptions!M$201&gt;Contract_Register!$T$12,MOD(Assumptions!M$201-Contract_Register!$T$12,12)=0),(1+Assumptions!$F$179)*IF(MOD(Assumptions!M$201-Contract_Register!$T$12,Assumptions!$C$90)=0,1+Assumptions!$F$180,1),1))</f>
        <v>1.02599972980276</v>
      </c>
      <c r="N90" s="107" t="n">
        <f aca="false">IF(N$5="A",IF((Inputs_Actuals!N14*Contract_Register!$K$12+Inputs_Actuals!N47*Contract_Register!$L$12)=0,0,Inputs_Actuals!N80/(Inputs_Actuals!N14*Contract_Register!$K$12+Inputs_Actuals!N47*Contract_Register!$L$12)),M90*IF(AND(Assumptions!N$201&gt;Contract_Register!$T$12,MOD(Assumptions!N$201-Contract_Register!$T$12,12)=0),(1+Assumptions!$F$179)*IF(MOD(Assumptions!N$201-Contract_Register!$T$12,Assumptions!$C$90)=0,1+Assumptions!$F$180,1),1))</f>
        <v>1.02599972980276</v>
      </c>
      <c r="O90" s="107" t="n">
        <f aca="false">IF(O$5="A",IF((Inputs_Actuals!O14*Contract_Register!$K$12+Inputs_Actuals!O47*Contract_Register!$L$12)=0,0,Inputs_Actuals!O80/(Inputs_Actuals!O14*Contract_Register!$K$12+Inputs_Actuals!O47*Contract_Register!$L$12)),N90*IF(AND(Assumptions!O$201&gt;Contract_Register!$T$12,MOD(Assumptions!O$201-Contract_Register!$T$12,12)=0),(1+Assumptions!$F$179)*IF(MOD(Assumptions!O$201-Contract_Register!$T$12,Assumptions!$C$90)=0,1+Assumptions!$F$180,1),1))</f>
        <v>1.02599972980276</v>
      </c>
      <c r="P90" s="107" t="n">
        <f aca="false">IF(P$5="A",IF((Inputs_Actuals!P14*Contract_Register!$K$12+Inputs_Actuals!P47*Contract_Register!$L$12)=0,0,Inputs_Actuals!P80/(Inputs_Actuals!P14*Contract_Register!$K$12+Inputs_Actuals!P47*Contract_Register!$L$12)),O90*IF(AND(Assumptions!P$201&gt;Contract_Register!$T$12,MOD(Assumptions!P$201-Contract_Register!$T$12,12)=0),(1+Assumptions!$F$179)*IF(MOD(Assumptions!P$201-Contract_Register!$T$12,Assumptions!$C$90)=0,1+Assumptions!$F$180,1),1))</f>
        <v>1.02599972980276</v>
      </c>
      <c r="Q90" s="107" t="n">
        <f aca="false">IF(Q$5="A",IF((Inputs_Actuals!Q14*Contract_Register!$K$12+Inputs_Actuals!Q47*Contract_Register!$L$12)=0,0,Inputs_Actuals!Q80/(Inputs_Actuals!Q14*Contract_Register!$K$12+Inputs_Actuals!Q47*Contract_Register!$L$12)),P90*IF(AND(Assumptions!Q$201&gt;Contract_Register!$T$12,MOD(Assumptions!Q$201-Contract_Register!$T$12,12)=0),(1+Assumptions!$F$179)*IF(MOD(Assumptions!Q$201-Contract_Register!$T$12,Assumptions!$C$90)=0,1+Assumptions!$F$180,1),1))</f>
        <v>1.05677972169684</v>
      </c>
      <c r="R90" s="107" t="n">
        <f aca="false">IF(R$5="A",IF((Inputs_Actuals!R14*Contract_Register!$K$12+Inputs_Actuals!R47*Contract_Register!$L$12)=0,0,Inputs_Actuals!R80/(Inputs_Actuals!R14*Contract_Register!$K$12+Inputs_Actuals!R47*Contract_Register!$L$12)),Q90*IF(AND(Assumptions!R$201&gt;Contract_Register!$T$12,MOD(Assumptions!R$201-Contract_Register!$T$12,12)=0),(1+Assumptions!$F$179)*IF(MOD(Assumptions!R$201-Contract_Register!$T$12,Assumptions!$C$90)=0,1+Assumptions!$F$180,1),1))</f>
        <v>1.05677972169684</v>
      </c>
      <c r="S90" s="107" t="n">
        <f aca="false">IF(S$5="A",IF((Inputs_Actuals!S14*Contract_Register!$K$12+Inputs_Actuals!S47*Contract_Register!$L$12)=0,0,Inputs_Actuals!S80/(Inputs_Actuals!S14*Contract_Register!$K$12+Inputs_Actuals!S47*Contract_Register!$L$12)),R90*IF(AND(Assumptions!S$201&gt;Contract_Register!$T$12,MOD(Assumptions!S$201-Contract_Register!$T$12,12)=0),(1+Assumptions!$F$179)*IF(MOD(Assumptions!S$201-Contract_Register!$T$12,Assumptions!$C$90)=0,1+Assumptions!$F$180,1),1))</f>
        <v>1.05677972169684</v>
      </c>
      <c r="T90" s="107" t="n">
        <f aca="false">IF(T$5="A",IF((Inputs_Actuals!T14*Contract_Register!$K$12+Inputs_Actuals!T47*Contract_Register!$L$12)=0,0,Inputs_Actuals!T80/(Inputs_Actuals!T14*Contract_Register!$K$12+Inputs_Actuals!T47*Contract_Register!$L$12)),S90*IF(AND(Assumptions!T$201&gt;Contract_Register!$T$12,MOD(Assumptions!T$201-Contract_Register!$T$12,12)=0),(1+Assumptions!$F$179)*IF(MOD(Assumptions!T$201-Contract_Register!$T$12,Assumptions!$C$90)=0,1+Assumptions!$F$180,1),1))</f>
        <v>1.05677972169684</v>
      </c>
      <c r="U90" s="107" t="n">
        <f aca="false">IF(U$5="A",IF((Inputs_Actuals!U14*Contract_Register!$K$12+Inputs_Actuals!U47*Contract_Register!$L$12)=0,0,Inputs_Actuals!U80/(Inputs_Actuals!U14*Contract_Register!$K$12+Inputs_Actuals!U47*Contract_Register!$L$12)),T90*IF(AND(Assumptions!U$201&gt;Contract_Register!$T$12,MOD(Assumptions!U$201-Contract_Register!$T$12,12)=0),(1+Assumptions!$F$179)*IF(MOD(Assumptions!U$201-Contract_Register!$T$12,Assumptions!$C$90)=0,1+Assumptions!$F$180,1),1))</f>
        <v>1.05677972169684</v>
      </c>
      <c r="V90" s="107" t="n">
        <f aca="false">IF(V$5="A",IF((Inputs_Actuals!V14*Contract_Register!$K$12+Inputs_Actuals!V47*Contract_Register!$L$12)=0,0,Inputs_Actuals!V80/(Inputs_Actuals!V14*Contract_Register!$K$12+Inputs_Actuals!V47*Contract_Register!$L$12)),U90*IF(AND(Assumptions!V$201&gt;Contract_Register!$T$12,MOD(Assumptions!V$201-Contract_Register!$T$12,12)=0),(1+Assumptions!$F$179)*IF(MOD(Assumptions!V$201-Contract_Register!$T$12,Assumptions!$C$90)=0,1+Assumptions!$F$180,1),1))</f>
        <v>1.05677972169684</v>
      </c>
      <c r="W90" s="107" t="n">
        <f aca="false">IF(W$5="A",IF((Inputs_Actuals!W14*Contract_Register!$K$12+Inputs_Actuals!W47*Contract_Register!$L$12)=0,0,Inputs_Actuals!W80/(Inputs_Actuals!W14*Contract_Register!$K$12+Inputs_Actuals!W47*Contract_Register!$L$12)),V90*IF(AND(Assumptions!W$201&gt;Contract_Register!$T$12,MOD(Assumptions!W$201-Contract_Register!$T$12,12)=0),(1+Assumptions!$F$179)*IF(MOD(Assumptions!W$201-Contract_Register!$T$12,Assumptions!$C$90)=0,1+Assumptions!$F$180,1),1))</f>
        <v>1.05677972169684</v>
      </c>
      <c r="X90" s="107" t="n">
        <f aca="false">IF(X$5="A",IF((Inputs_Actuals!X14*Contract_Register!$K$12+Inputs_Actuals!X47*Contract_Register!$L$12)=0,0,Inputs_Actuals!X80/(Inputs_Actuals!X14*Contract_Register!$K$12+Inputs_Actuals!X47*Contract_Register!$L$12)),W90*IF(AND(Assumptions!X$201&gt;Contract_Register!$T$12,MOD(Assumptions!X$201-Contract_Register!$T$12,12)=0),(1+Assumptions!$F$179)*IF(MOD(Assumptions!X$201-Contract_Register!$T$12,Assumptions!$C$90)=0,1+Assumptions!$F$180,1),1))</f>
        <v>1.05677972169684</v>
      </c>
      <c r="Y90" s="107" t="n">
        <f aca="false">IF(Y$5="A",IF((Inputs_Actuals!Y14*Contract_Register!$K$12+Inputs_Actuals!Y47*Contract_Register!$L$12)=0,0,Inputs_Actuals!Y80/(Inputs_Actuals!Y14*Contract_Register!$K$12+Inputs_Actuals!Y47*Contract_Register!$L$12)),X90*IF(AND(Assumptions!Y$201&gt;Contract_Register!$T$12,MOD(Assumptions!Y$201-Contract_Register!$T$12,12)=0),(1+Assumptions!$F$179)*IF(MOD(Assumptions!Y$201-Contract_Register!$T$12,Assumptions!$C$90)=0,1+Assumptions!$F$180,1),1))</f>
        <v>1.05677972169684</v>
      </c>
      <c r="Z90" s="107" t="n">
        <f aca="false">IF(Z$5="A",IF((Inputs_Actuals!Z14*Contract_Register!$K$12+Inputs_Actuals!Z47*Contract_Register!$L$12)=0,0,Inputs_Actuals!Z80/(Inputs_Actuals!Z14*Contract_Register!$K$12+Inputs_Actuals!Z47*Contract_Register!$L$12)),Y90*IF(AND(Assumptions!Z$201&gt;Contract_Register!$T$12,MOD(Assumptions!Z$201-Contract_Register!$T$12,12)=0),(1+Assumptions!$F$179)*IF(MOD(Assumptions!Z$201-Contract_Register!$T$12,Assumptions!$C$90)=0,1+Assumptions!$F$180,1),1))</f>
        <v>1.05677972169684</v>
      </c>
      <c r="AA90" s="107" t="n">
        <f aca="false">IF(AA$5="A",IF((Inputs_Actuals!AA14*Contract_Register!$K$12+Inputs_Actuals!AA47*Contract_Register!$L$12)=0,0,Inputs_Actuals!AA80/(Inputs_Actuals!AA14*Contract_Register!$K$12+Inputs_Actuals!AA47*Contract_Register!$L$12)),Z90*IF(AND(Assumptions!AA$201&gt;Contract_Register!$T$12,MOD(Assumptions!AA$201-Contract_Register!$T$12,12)=0),(1+Assumptions!$F$179)*IF(MOD(Assumptions!AA$201-Contract_Register!$T$12,Assumptions!$C$90)=0,1+Assumptions!$F$180,1),1))</f>
        <v>1.05677972169684</v>
      </c>
      <c r="AB90" s="107" t="n">
        <f aca="false">IF(AB$5="A",IF((Inputs_Actuals!AB14*Contract_Register!$K$12+Inputs_Actuals!AB47*Contract_Register!$L$12)=0,0,Inputs_Actuals!AB80/(Inputs_Actuals!AB14*Contract_Register!$K$12+Inputs_Actuals!AB47*Contract_Register!$L$12)),AA90*IF(AND(Assumptions!AB$201&gt;Contract_Register!$T$12,MOD(Assumptions!AB$201-Contract_Register!$T$12,12)=0),(1+Assumptions!$F$179)*IF(MOD(Assumptions!AB$201-Contract_Register!$T$12,Assumptions!$C$90)=0,1+Assumptions!$F$180,1),1))</f>
        <v>1.05677972169684</v>
      </c>
    </row>
    <row r="91" customFormat="false" ht="15" hidden="false" customHeight="false" outlineLevel="0" collapsed="false">
      <c r="A91" s="27" t="s">
        <v>819</v>
      </c>
      <c r="B91" s="63" t="s">
        <v>851</v>
      </c>
      <c r="C91" s="121" t="n">
        <f aca="false">P91</f>
        <v>1.0259996599796</v>
      </c>
      <c r="D91" s="121" t="n">
        <f aca="false">AB91</f>
        <v>1.05677964977899</v>
      </c>
      <c r="E91" s="107" t="n">
        <f aca="false">IF(E$5="A",IF((Inputs_Actuals!E15*Contract_Register!$K$13+Inputs_Actuals!E48*Contract_Register!$L$13)=0,0,Inputs_Actuals!E81/(Inputs_Actuals!E15*Contract_Register!$K$13+Inputs_Actuals!E48*Contract_Register!$L$13)),1*IF(AND(Assumptions!E$201&gt;Contract_Register!$T$13,MOD(Assumptions!E$201-Contract_Register!$T$13,12)=0),(1+Assumptions!$F$179)*IF(MOD(Assumptions!E$201-Contract_Register!$T$13,Assumptions!$C$90)=0,1+Assumptions!$F$180,1),1))</f>
        <v>1</v>
      </c>
      <c r="F91" s="107" t="n">
        <f aca="false">IF(F$5="A",IF((Inputs_Actuals!F15*Contract_Register!$K$13+Inputs_Actuals!F48*Contract_Register!$L$13)=0,0,Inputs_Actuals!F81/(Inputs_Actuals!F15*Contract_Register!$K$13+Inputs_Actuals!F48*Contract_Register!$L$13)),E91*IF(AND(Assumptions!F$201&gt;Contract_Register!$T$13,MOD(Assumptions!F$201-Contract_Register!$T$13,12)=0),(1+Assumptions!$F$179)*IF(MOD(Assumptions!F$201-Contract_Register!$T$13,Assumptions!$C$90)=0,1+Assumptions!$F$180,1),1))</f>
        <v>1.026</v>
      </c>
      <c r="G91" s="107" t="n">
        <f aca="false">IF(G$5="A",IF((Inputs_Actuals!G15*Contract_Register!$K$13+Inputs_Actuals!G48*Contract_Register!$L$13)=0,0,Inputs_Actuals!G81/(Inputs_Actuals!G15*Contract_Register!$K$13+Inputs_Actuals!G48*Contract_Register!$L$13)),F91*IF(AND(Assumptions!G$201&gt;Contract_Register!$T$13,MOD(Assumptions!G$201-Contract_Register!$T$13,12)=0),(1+Assumptions!$F$179)*IF(MOD(Assumptions!G$201-Contract_Register!$T$13,Assumptions!$C$90)=0,1+Assumptions!$F$180,1),1))</f>
        <v>1.026</v>
      </c>
      <c r="H91" s="107" t="n">
        <f aca="false">IF(H$5="A",IF((Inputs_Actuals!H15*Contract_Register!$K$13+Inputs_Actuals!H48*Contract_Register!$L$13)=0,0,Inputs_Actuals!H81/(Inputs_Actuals!H15*Contract_Register!$K$13+Inputs_Actuals!H48*Contract_Register!$L$13)),G91*IF(AND(Assumptions!H$201&gt;Contract_Register!$T$13,MOD(Assumptions!H$201-Contract_Register!$T$13,12)=0),(1+Assumptions!$F$179)*IF(MOD(Assumptions!H$201-Contract_Register!$T$13,Assumptions!$C$90)=0,1+Assumptions!$F$180,1),1))</f>
        <v>1.026</v>
      </c>
      <c r="I91" s="107" t="n">
        <f aca="false">IF(I$5="A",IF((Inputs_Actuals!I15*Contract_Register!$K$13+Inputs_Actuals!I48*Contract_Register!$L$13)=0,0,Inputs_Actuals!I81/(Inputs_Actuals!I15*Contract_Register!$K$13+Inputs_Actuals!I48*Contract_Register!$L$13)),H91*IF(AND(Assumptions!I$201&gt;Contract_Register!$T$13,MOD(Assumptions!I$201-Contract_Register!$T$13,12)=0),(1+Assumptions!$F$179)*IF(MOD(Assumptions!I$201-Contract_Register!$T$13,Assumptions!$C$90)=0,1+Assumptions!$F$180,1),1))</f>
        <v>1.02599965735823</v>
      </c>
      <c r="J91" s="107" t="n">
        <f aca="false">IF(J$5="A",IF((Inputs_Actuals!J15*Contract_Register!$K$13+Inputs_Actuals!J48*Contract_Register!$L$13)=0,0,Inputs_Actuals!J81/(Inputs_Actuals!J15*Contract_Register!$K$13+Inputs_Actuals!J48*Contract_Register!$L$13)),I91*IF(AND(Assumptions!J$201&gt;Contract_Register!$T$13,MOD(Assumptions!J$201-Contract_Register!$T$13,12)=0),(1+Assumptions!$F$179)*IF(MOD(Assumptions!J$201-Contract_Register!$T$13,Assumptions!$C$90)=0,1+Assumptions!$F$180,1),1))</f>
        <v>1.02599965735823</v>
      </c>
      <c r="K91" s="107" t="n">
        <f aca="false">IF(K$5="A",IF((Inputs_Actuals!K15*Contract_Register!$K$13+Inputs_Actuals!K48*Contract_Register!$L$13)=0,0,Inputs_Actuals!K81/(Inputs_Actuals!K15*Contract_Register!$K$13+Inputs_Actuals!K48*Contract_Register!$L$13)),J91*IF(AND(Assumptions!K$201&gt;Contract_Register!$T$13,MOD(Assumptions!K$201-Contract_Register!$T$13,12)=0),(1+Assumptions!$F$179)*IF(MOD(Assumptions!K$201-Contract_Register!$T$13,Assumptions!$C$90)=0,1+Assumptions!$F$180,1),1))</f>
        <v>1.0259996599796</v>
      </c>
      <c r="L91" s="107" t="n">
        <f aca="false">IF(L$5="A",IF((Inputs_Actuals!L15*Contract_Register!$K$13+Inputs_Actuals!L48*Contract_Register!$L$13)=0,0,Inputs_Actuals!L81/(Inputs_Actuals!L15*Contract_Register!$K$13+Inputs_Actuals!L48*Contract_Register!$L$13)),K91*IF(AND(Assumptions!L$201&gt;Contract_Register!$T$13,MOD(Assumptions!L$201-Contract_Register!$T$13,12)=0),(1+Assumptions!$F$179)*IF(MOD(Assumptions!L$201-Contract_Register!$T$13,Assumptions!$C$90)=0,1+Assumptions!$F$180,1),1))</f>
        <v>1.0259996599796</v>
      </c>
      <c r="M91" s="107" t="n">
        <f aca="false">IF(M$5="A",IF((Inputs_Actuals!M15*Contract_Register!$K$13+Inputs_Actuals!M48*Contract_Register!$L$13)=0,0,Inputs_Actuals!M81/(Inputs_Actuals!M15*Contract_Register!$K$13+Inputs_Actuals!M48*Contract_Register!$L$13)),L91*IF(AND(Assumptions!M$201&gt;Contract_Register!$T$13,MOD(Assumptions!M$201-Contract_Register!$T$13,12)=0),(1+Assumptions!$F$179)*IF(MOD(Assumptions!M$201-Contract_Register!$T$13,Assumptions!$C$90)=0,1+Assumptions!$F$180,1),1))</f>
        <v>1.0259996599796</v>
      </c>
      <c r="N91" s="107" t="n">
        <f aca="false">IF(N$5="A",IF((Inputs_Actuals!N15*Contract_Register!$K$13+Inputs_Actuals!N48*Contract_Register!$L$13)=0,0,Inputs_Actuals!N81/(Inputs_Actuals!N15*Contract_Register!$K$13+Inputs_Actuals!N48*Contract_Register!$L$13)),M91*IF(AND(Assumptions!N$201&gt;Contract_Register!$T$13,MOD(Assumptions!N$201-Contract_Register!$T$13,12)=0),(1+Assumptions!$F$179)*IF(MOD(Assumptions!N$201-Contract_Register!$T$13,Assumptions!$C$90)=0,1+Assumptions!$F$180,1),1))</f>
        <v>1.0259996599796</v>
      </c>
      <c r="O91" s="107" t="n">
        <f aca="false">IF(O$5="A",IF((Inputs_Actuals!O15*Contract_Register!$K$13+Inputs_Actuals!O48*Contract_Register!$L$13)=0,0,Inputs_Actuals!O81/(Inputs_Actuals!O15*Contract_Register!$K$13+Inputs_Actuals!O48*Contract_Register!$L$13)),N91*IF(AND(Assumptions!O$201&gt;Contract_Register!$T$13,MOD(Assumptions!O$201-Contract_Register!$T$13,12)=0),(1+Assumptions!$F$179)*IF(MOD(Assumptions!O$201-Contract_Register!$T$13,Assumptions!$C$90)=0,1+Assumptions!$F$180,1),1))</f>
        <v>1.0259996599796</v>
      </c>
      <c r="P91" s="107" t="n">
        <f aca="false">IF(P$5="A",IF((Inputs_Actuals!P15*Contract_Register!$K$13+Inputs_Actuals!P48*Contract_Register!$L$13)=0,0,Inputs_Actuals!P81/(Inputs_Actuals!P15*Contract_Register!$K$13+Inputs_Actuals!P48*Contract_Register!$L$13)),O91*IF(AND(Assumptions!P$201&gt;Contract_Register!$T$13,MOD(Assumptions!P$201-Contract_Register!$T$13,12)=0),(1+Assumptions!$F$179)*IF(MOD(Assumptions!P$201-Contract_Register!$T$13,Assumptions!$C$90)=0,1+Assumptions!$F$180,1),1))</f>
        <v>1.0259996599796</v>
      </c>
      <c r="Q91" s="107" t="n">
        <f aca="false">IF(Q$5="A",IF((Inputs_Actuals!Q15*Contract_Register!$K$13+Inputs_Actuals!Q48*Contract_Register!$L$13)=0,0,Inputs_Actuals!Q81/(Inputs_Actuals!Q15*Contract_Register!$K$13+Inputs_Actuals!Q48*Contract_Register!$L$13)),P91*IF(AND(Assumptions!Q$201&gt;Contract_Register!$T$13,MOD(Assumptions!Q$201-Contract_Register!$T$13,12)=0),(1+Assumptions!$F$179)*IF(MOD(Assumptions!Q$201-Contract_Register!$T$13,Assumptions!$C$90)=0,1+Assumptions!$F$180,1),1))</f>
        <v>1.0259996599796</v>
      </c>
      <c r="R91" s="107" t="n">
        <f aca="false">IF(R$5="A",IF((Inputs_Actuals!R15*Contract_Register!$K$13+Inputs_Actuals!R48*Contract_Register!$L$13)=0,0,Inputs_Actuals!R81/(Inputs_Actuals!R15*Contract_Register!$K$13+Inputs_Actuals!R48*Contract_Register!$L$13)),Q91*IF(AND(Assumptions!R$201&gt;Contract_Register!$T$13,MOD(Assumptions!R$201-Contract_Register!$T$13,12)=0),(1+Assumptions!$F$179)*IF(MOD(Assumptions!R$201-Contract_Register!$T$13,Assumptions!$C$90)=0,1+Assumptions!$F$180,1),1))</f>
        <v>1.05677964977899</v>
      </c>
      <c r="S91" s="107" t="n">
        <f aca="false">IF(S$5="A",IF((Inputs_Actuals!S15*Contract_Register!$K$13+Inputs_Actuals!S48*Contract_Register!$L$13)=0,0,Inputs_Actuals!S81/(Inputs_Actuals!S15*Contract_Register!$K$13+Inputs_Actuals!S48*Contract_Register!$L$13)),R91*IF(AND(Assumptions!S$201&gt;Contract_Register!$T$13,MOD(Assumptions!S$201-Contract_Register!$T$13,12)=0),(1+Assumptions!$F$179)*IF(MOD(Assumptions!S$201-Contract_Register!$T$13,Assumptions!$C$90)=0,1+Assumptions!$F$180,1),1))</f>
        <v>1.05677964977899</v>
      </c>
      <c r="T91" s="107" t="n">
        <f aca="false">IF(T$5="A",IF((Inputs_Actuals!T15*Contract_Register!$K$13+Inputs_Actuals!T48*Contract_Register!$L$13)=0,0,Inputs_Actuals!T81/(Inputs_Actuals!T15*Contract_Register!$K$13+Inputs_Actuals!T48*Contract_Register!$L$13)),S91*IF(AND(Assumptions!T$201&gt;Contract_Register!$T$13,MOD(Assumptions!T$201-Contract_Register!$T$13,12)=0),(1+Assumptions!$F$179)*IF(MOD(Assumptions!T$201-Contract_Register!$T$13,Assumptions!$C$90)=0,1+Assumptions!$F$180,1),1))</f>
        <v>1.05677964977899</v>
      </c>
      <c r="U91" s="107" t="n">
        <f aca="false">IF(U$5="A",IF((Inputs_Actuals!U15*Contract_Register!$K$13+Inputs_Actuals!U48*Contract_Register!$L$13)=0,0,Inputs_Actuals!U81/(Inputs_Actuals!U15*Contract_Register!$K$13+Inputs_Actuals!U48*Contract_Register!$L$13)),T91*IF(AND(Assumptions!U$201&gt;Contract_Register!$T$13,MOD(Assumptions!U$201-Contract_Register!$T$13,12)=0),(1+Assumptions!$F$179)*IF(MOD(Assumptions!U$201-Contract_Register!$T$13,Assumptions!$C$90)=0,1+Assumptions!$F$180,1),1))</f>
        <v>1.05677964977899</v>
      </c>
      <c r="V91" s="107" t="n">
        <f aca="false">IF(V$5="A",IF((Inputs_Actuals!V15*Contract_Register!$K$13+Inputs_Actuals!V48*Contract_Register!$L$13)=0,0,Inputs_Actuals!V81/(Inputs_Actuals!V15*Contract_Register!$K$13+Inputs_Actuals!V48*Contract_Register!$L$13)),U91*IF(AND(Assumptions!V$201&gt;Contract_Register!$T$13,MOD(Assumptions!V$201-Contract_Register!$T$13,12)=0),(1+Assumptions!$F$179)*IF(MOD(Assumptions!V$201-Contract_Register!$T$13,Assumptions!$C$90)=0,1+Assumptions!$F$180,1),1))</f>
        <v>1.05677964977899</v>
      </c>
      <c r="W91" s="107" t="n">
        <f aca="false">IF(W$5="A",IF((Inputs_Actuals!W15*Contract_Register!$K$13+Inputs_Actuals!W48*Contract_Register!$L$13)=0,0,Inputs_Actuals!W81/(Inputs_Actuals!W15*Contract_Register!$K$13+Inputs_Actuals!W48*Contract_Register!$L$13)),V91*IF(AND(Assumptions!W$201&gt;Contract_Register!$T$13,MOD(Assumptions!W$201-Contract_Register!$T$13,12)=0),(1+Assumptions!$F$179)*IF(MOD(Assumptions!W$201-Contract_Register!$T$13,Assumptions!$C$90)=0,1+Assumptions!$F$180,1),1))</f>
        <v>1.05677964977899</v>
      </c>
      <c r="X91" s="107" t="n">
        <f aca="false">IF(X$5="A",IF((Inputs_Actuals!X15*Contract_Register!$K$13+Inputs_Actuals!X48*Contract_Register!$L$13)=0,0,Inputs_Actuals!X81/(Inputs_Actuals!X15*Contract_Register!$K$13+Inputs_Actuals!X48*Contract_Register!$L$13)),W91*IF(AND(Assumptions!X$201&gt;Contract_Register!$T$13,MOD(Assumptions!X$201-Contract_Register!$T$13,12)=0),(1+Assumptions!$F$179)*IF(MOD(Assumptions!X$201-Contract_Register!$T$13,Assumptions!$C$90)=0,1+Assumptions!$F$180,1),1))</f>
        <v>1.05677964977899</v>
      </c>
      <c r="Y91" s="107" t="n">
        <f aca="false">IF(Y$5="A",IF((Inputs_Actuals!Y15*Contract_Register!$K$13+Inputs_Actuals!Y48*Contract_Register!$L$13)=0,0,Inputs_Actuals!Y81/(Inputs_Actuals!Y15*Contract_Register!$K$13+Inputs_Actuals!Y48*Contract_Register!$L$13)),X91*IF(AND(Assumptions!Y$201&gt;Contract_Register!$T$13,MOD(Assumptions!Y$201-Contract_Register!$T$13,12)=0),(1+Assumptions!$F$179)*IF(MOD(Assumptions!Y$201-Contract_Register!$T$13,Assumptions!$C$90)=0,1+Assumptions!$F$180,1),1))</f>
        <v>1.05677964977899</v>
      </c>
      <c r="Z91" s="107" t="n">
        <f aca="false">IF(Z$5="A",IF((Inputs_Actuals!Z15*Contract_Register!$K$13+Inputs_Actuals!Z48*Contract_Register!$L$13)=0,0,Inputs_Actuals!Z81/(Inputs_Actuals!Z15*Contract_Register!$K$13+Inputs_Actuals!Z48*Contract_Register!$L$13)),Y91*IF(AND(Assumptions!Z$201&gt;Contract_Register!$T$13,MOD(Assumptions!Z$201-Contract_Register!$T$13,12)=0),(1+Assumptions!$F$179)*IF(MOD(Assumptions!Z$201-Contract_Register!$T$13,Assumptions!$C$90)=0,1+Assumptions!$F$180,1),1))</f>
        <v>1.05677964977899</v>
      </c>
      <c r="AA91" s="107" t="n">
        <f aca="false">IF(AA$5="A",IF((Inputs_Actuals!AA15*Contract_Register!$K$13+Inputs_Actuals!AA48*Contract_Register!$L$13)=0,0,Inputs_Actuals!AA81/(Inputs_Actuals!AA15*Contract_Register!$K$13+Inputs_Actuals!AA48*Contract_Register!$L$13)),Z91*IF(AND(Assumptions!AA$201&gt;Contract_Register!$T$13,MOD(Assumptions!AA$201-Contract_Register!$T$13,12)=0),(1+Assumptions!$F$179)*IF(MOD(Assumptions!AA$201-Contract_Register!$T$13,Assumptions!$C$90)=0,1+Assumptions!$F$180,1),1))</f>
        <v>1.05677964977899</v>
      </c>
      <c r="AB91" s="107" t="n">
        <f aca="false">IF(AB$5="A",IF((Inputs_Actuals!AB15*Contract_Register!$K$13+Inputs_Actuals!AB48*Contract_Register!$L$13)=0,0,Inputs_Actuals!AB81/(Inputs_Actuals!AB15*Contract_Register!$K$13+Inputs_Actuals!AB48*Contract_Register!$L$13)),AA91*IF(AND(Assumptions!AB$201&gt;Contract_Register!$T$13,MOD(Assumptions!AB$201-Contract_Register!$T$13,12)=0),(1+Assumptions!$F$179)*IF(MOD(Assumptions!AB$201-Contract_Register!$T$13,Assumptions!$C$90)=0,1+Assumptions!$F$180,1),1))</f>
        <v>1.05677964977899</v>
      </c>
    </row>
    <row r="92" customFormat="false" ht="15" hidden="false" customHeight="false" outlineLevel="0" collapsed="false">
      <c r="A92" s="27" t="s">
        <v>820</v>
      </c>
      <c r="B92" s="63" t="s">
        <v>851</v>
      </c>
      <c r="C92" s="121" t="n">
        <f aca="false">P92</f>
        <v>1.026</v>
      </c>
      <c r="D92" s="121" t="n">
        <f aca="false">AB92</f>
        <v>1.05678</v>
      </c>
      <c r="E92" s="107" t="n">
        <f aca="false">IF(E$5="A",IF((Inputs_Actuals!E16*Contract_Register!$K$14+Inputs_Actuals!E49*Contract_Register!$L$14)=0,0,Inputs_Actuals!E82/(Inputs_Actuals!E16*Contract_Register!$K$14+Inputs_Actuals!E49*Contract_Register!$L$14)),1*IF(AND(Assumptions!E$201&gt;Contract_Register!$T$14,MOD(Assumptions!E$201-Contract_Register!$T$14,12)=0),(1+Assumptions!$F$179)*IF(MOD(Assumptions!E$201-Contract_Register!$T$14,Assumptions!$C$90)=0,1+Assumptions!$F$180,1),1))</f>
        <v>1.026</v>
      </c>
      <c r="F92" s="107" t="n">
        <f aca="false">IF(F$5="A",IF((Inputs_Actuals!F16*Contract_Register!$K$14+Inputs_Actuals!F49*Contract_Register!$L$14)=0,0,Inputs_Actuals!F82/(Inputs_Actuals!F16*Contract_Register!$K$14+Inputs_Actuals!F49*Contract_Register!$L$14)),E92*IF(AND(Assumptions!F$201&gt;Contract_Register!$T$14,MOD(Assumptions!F$201-Contract_Register!$T$14,12)=0),(1+Assumptions!$F$179)*IF(MOD(Assumptions!F$201-Contract_Register!$T$14,Assumptions!$C$90)=0,1+Assumptions!$F$180,1),1))</f>
        <v>1.02599963993159</v>
      </c>
      <c r="G92" s="107" t="n">
        <f aca="false">IF(G$5="A",IF((Inputs_Actuals!G16*Contract_Register!$K$14+Inputs_Actuals!G49*Contract_Register!$L$14)=0,0,Inputs_Actuals!G82/(Inputs_Actuals!G16*Contract_Register!$K$14+Inputs_Actuals!G49*Contract_Register!$L$14)),F92*IF(AND(Assumptions!G$201&gt;Contract_Register!$T$14,MOD(Assumptions!G$201-Contract_Register!$T$14,12)=0),(1+Assumptions!$F$179)*IF(MOD(Assumptions!G$201-Contract_Register!$T$14,Assumptions!$C$90)=0,1+Assumptions!$F$180,1),1))</f>
        <v>1.02600017868311</v>
      </c>
      <c r="H92" s="107" t="n">
        <f aca="false">IF(H$5="A",IF((Inputs_Actuals!H16*Contract_Register!$K$14+Inputs_Actuals!H49*Contract_Register!$L$14)=0,0,Inputs_Actuals!H82/(Inputs_Actuals!H16*Contract_Register!$K$14+Inputs_Actuals!H49*Contract_Register!$L$14)),G92*IF(AND(Assumptions!H$201&gt;Contract_Register!$T$14,MOD(Assumptions!H$201-Contract_Register!$T$14,12)=0),(1+Assumptions!$F$179)*IF(MOD(Assumptions!H$201-Contract_Register!$T$14,Assumptions!$C$90)=0,1+Assumptions!$F$180,1),1))</f>
        <v>1.02599982193732</v>
      </c>
      <c r="I92" s="107" t="n">
        <f aca="false">IF(I$5="A",IF((Inputs_Actuals!I16*Contract_Register!$K$14+Inputs_Actuals!I49*Contract_Register!$L$14)=0,0,Inputs_Actuals!I82/(Inputs_Actuals!I16*Contract_Register!$K$14+Inputs_Actuals!I49*Contract_Register!$L$14)),H92*IF(AND(Assumptions!I$201&gt;Contract_Register!$T$14,MOD(Assumptions!I$201-Contract_Register!$T$14,12)=0),(1+Assumptions!$F$179)*IF(MOD(Assumptions!I$201-Contract_Register!$T$14,Assumptions!$C$90)=0,1+Assumptions!$F$180,1),1))</f>
        <v>1.02600035489309</v>
      </c>
      <c r="J92" s="107" t="n">
        <f aca="false">IF(J$5="A",IF((Inputs_Actuals!J16*Contract_Register!$K$14+Inputs_Actuals!J49*Contract_Register!$L$14)=0,0,Inputs_Actuals!J82/(Inputs_Actuals!J16*Contract_Register!$K$14+Inputs_Actuals!J49*Contract_Register!$L$14)),I92*IF(AND(Assumptions!J$201&gt;Contract_Register!$T$14,MOD(Assumptions!J$201-Contract_Register!$T$14,12)=0),(1+Assumptions!$F$179)*IF(MOD(Assumptions!J$201-Contract_Register!$T$14,Assumptions!$C$90)=0,1+Assumptions!$F$180,1),1))</f>
        <v>1.026</v>
      </c>
      <c r="K92" s="107" t="n">
        <f aca="false">IF(K$5="A",IF((Inputs_Actuals!K16*Contract_Register!$K$14+Inputs_Actuals!K49*Contract_Register!$L$14)=0,0,Inputs_Actuals!K82/(Inputs_Actuals!K16*Contract_Register!$K$14+Inputs_Actuals!K49*Contract_Register!$L$14)),J92*IF(AND(Assumptions!K$201&gt;Contract_Register!$T$14,MOD(Assumptions!K$201-Contract_Register!$T$14,12)=0),(1+Assumptions!$F$179)*IF(MOD(Assumptions!K$201-Contract_Register!$T$14,Assumptions!$C$90)=0,1+Assumptions!$F$180,1),1))</f>
        <v>1.026</v>
      </c>
      <c r="L92" s="107" t="n">
        <f aca="false">IF(L$5="A",IF((Inputs_Actuals!L16*Contract_Register!$K$14+Inputs_Actuals!L49*Contract_Register!$L$14)=0,0,Inputs_Actuals!L82/(Inputs_Actuals!L16*Contract_Register!$K$14+Inputs_Actuals!L49*Contract_Register!$L$14)),K92*IF(AND(Assumptions!L$201&gt;Contract_Register!$T$14,MOD(Assumptions!L$201-Contract_Register!$T$14,12)=0),(1+Assumptions!$F$179)*IF(MOD(Assumptions!L$201-Contract_Register!$T$14,Assumptions!$C$90)=0,1+Assumptions!$F$180,1),1))</f>
        <v>1.026</v>
      </c>
      <c r="M92" s="107" t="n">
        <f aca="false">IF(M$5="A",IF((Inputs_Actuals!M16*Contract_Register!$K$14+Inputs_Actuals!M49*Contract_Register!$L$14)=0,0,Inputs_Actuals!M82/(Inputs_Actuals!M16*Contract_Register!$K$14+Inputs_Actuals!M49*Contract_Register!$L$14)),L92*IF(AND(Assumptions!M$201&gt;Contract_Register!$T$14,MOD(Assumptions!M$201-Contract_Register!$T$14,12)=0),(1+Assumptions!$F$179)*IF(MOD(Assumptions!M$201-Contract_Register!$T$14,Assumptions!$C$90)=0,1+Assumptions!$F$180,1),1))</f>
        <v>1.026</v>
      </c>
      <c r="N92" s="107" t="n">
        <f aca="false">IF(N$5="A",IF((Inputs_Actuals!N16*Contract_Register!$K$14+Inputs_Actuals!N49*Contract_Register!$L$14)=0,0,Inputs_Actuals!N82/(Inputs_Actuals!N16*Contract_Register!$K$14+Inputs_Actuals!N49*Contract_Register!$L$14)),M92*IF(AND(Assumptions!N$201&gt;Contract_Register!$T$14,MOD(Assumptions!N$201-Contract_Register!$T$14,12)=0),(1+Assumptions!$F$179)*IF(MOD(Assumptions!N$201-Contract_Register!$T$14,Assumptions!$C$90)=0,1+Assumptions!$F$180,1),1))</f>
        <v>1.026</v>
      </c>
      <c r="O92" s="107" t="n">
        <f aca="false">IF(O$5="A",IF((Inputs_Actuals!O16*Contract_Register!$K$14+Inputs_Actuals!O49*Contract_Register!$L$14)=0,0,Inputs_Actuals!O82/(Inputs_Actuals!O16*Contract_Register!$K$14+Inputs_Actuals!O49*Contract_Register!$L$14)),N92*IF(AND(Assumptions!O$201&gt;Contract_Register!$T$14,MOD(Assumptions!O$201-Contract_Register!$T$14,12)=0),(1+Assumptions!$F$179)*IF(MOD(Assumptions!O$201-Contract_Register!$T$14,Assumptions!$C$90)=0,1+Assumptions!$F$180,1),1))</f>
        <v>1.026</v>
      </c>
      <c r="P92" s="107" t="n">
        <f aca="false">IF(P$5="A",IF((Inputs_Actuals!P16*Contract_Register!$K$14+Inputs_Actuals!P49*Contract_Register!$L$14)=0,0,Inputs_Actuals!P82/(Inputs_Actuals!P16*Contract_Register!$K$14+Inputs_Actuals!P49*Contract_Register!$L$14)),O92*IF(AND(Assumptions!P$201&gt;Contract_Register!$T$14,MOD(Assumptions!P$201-Contract_Register!$T$14,12)=0),(1+Assumptions!$F$179)*IF(MOD(Assumptions!P$201-Contract_Register!$T$14,Assumptions!$C$90)=0,1+Assumptions!$F$180,1),1))</f>
        <v>1.026</v>
      </c>
      <c r="Q92" s="107" t="n">
        <f aca="false">IF(Q$5="A",IF((Inputs_Actuals!Q16*Contract_Register!$K$14+Inputs_Actuals!Q49*Contract_Register!$L$14)=0,0,Inputs_Actuals!Q82/(Inputs_Actuals!Q16*Contract_Register!$K$14+Inputs_Actuals!Q49*Contract_Register!$L$14)),P92*IF(AND(Assumptions!Q$201&gt;Contract_Register!$T$14,MOD(Assumptions!Q$201-Contract_Register!$T$14,12)=0),(1+Assumptions!$F$179)*IF(MOD(Assumptions!Q$201-Contract_Register!$T$14,Assumptions!$C$90)=0,1+Assumptions!$F$180,1),1))</f>
        <v>1.05678</v>
      </c>
      <c r="R92" s="107" t="n">
        <f aca="false">IF(R$5="A",IF((Inputs_Actuals!R16*Contract_Register!$K$14+Inputs_Actuals!R49*Contract_Register!$L$14)=0,0,Inputs_Actuals!R82/(Inputs_Actuals!R16*Contract_Register!$K$14+Inputs_Actuals!R49*Contract_Register!$L$14)),Q92*IF(AND(Assumptions!R$201&gt;Contract_Register!$T$14,MOD(Assumptions!R$201-Contract_Register!$T$14,12)=0),(1+Assumptions!$F$179)*IF(MOD(Assumptions!R$201-Contract_Register!$T$14,Assumptions!$C$90)=0,1+Assumptions!$F$180,1),1))</f>
        <v>1.05678</v>
      </c>
      <c r="S92" s="107" t="n">
        <f aca="false">IF(S$5="A",IF((Inputs_Actuals!S16*Contract_Register!$K$14+Inputs_Actuals!S49*Contract_Register!$L$14)=0,0,Inputs_Actuals!S82/(Inputs_Actuals!S16*Contract_Register!$K$14+Inputs_Actuals!S49*Contract_Register!$L$14)),R92*IF(AND(Assumptions!S$201&gt;Contract_Register!$T$14,MOD(Assumptions!S$201-Contract_Register!$T$14,12)=0),(1+Assumptions!$F$179)*IF(MOD(Assumptions!S$201-Contract_Register!$T$14,Assumptions!$C$90)=0,1+Assumptions!$F$180,1),1))</f>
        <v>1.05678</v>
      </c>
      <c r="T92" s="107" t="n">
        <f aca="false">IF(T$5="A",IF((Inputs_Actuals!T16*Contract_Register!$K$14+Inputs_Actuals!T49*Contract_Register!$L$14)=0,0,Inputs_Actuals!T82/(Inputs_Actuals!T16*Contract_Register!$K$14+Inputs_Actuals!T49*Contract_Register!$L$14)),S92*IF(AND(Assumptions!T$201&gt;Contract_Register!$T$14,MOD(Assumptions!T$201-Contract_Register!$T$14,12)=0),(1+Assumptions!$F$179)*IF(MOD(Assumptions!T$201-Contract_Register!$T$14,Assumptions!$C$90)=0,1+Assumptions!$F$180,1),1))</f>
        <v>1.05678</v>
      </c>
      <c r="U92" s="107" t="n">
        <f aca="false">IF(U$5="A",IF((Inputs_Actuals!U16*Contract_Register!$K$14+Inputs_Actuals!U49*Contract_Register!$L$14)=0,0,Inputs_Actuals!U82/(Inputs_Actuals!U16*Contract_Register!$K$14+Inputs_Actuals!U49*Contract_Register!$L$14)),T92*IF(AND(Assumptions!U$201&gt;Contract_Register!$T$14,MOD(Assumptions!U$201-Contract_Register!$T$14,12)=0),(1+Assumptions!$F$179)*IF(MOD(Assumptions!U$201-Contract_Register!$T$14,Assumptions!$C$90)=0,1+Assumptions!$F$180,1),1))</f>
        <v>1.05678</v>
      </c>
      <c r="V92" s="107" t="n">
        <f aca="false">IF(V$5="A",IF((Inputs_Actuals!V16*Contract_Register!$K$14+Inputs_Actuals!V49*Contract_Register!$L$14)=0,0,Inputs_Actuals!V82/(Inputs_Actuals!V16*Contract_Register!$K$14+Inputs_Actuals!V49*Contract_Register!$L$14)),U92*IF(AND(Assumptions!V$201&gt;Contract_Register!$T$14,MOD(Assumptions!V$201-Contract_Register!$T$14,12)=0),(1+Assumptions!$F$179)*IF(MOD(Assumptions!V$201-Contract_Register!$T$14,Assumptions!$C$90)=0,1+Assumptions!$F$180,1),1))</f>
        <v>1.05678</v>
      </c>
      <c r="W92" s="107" t="n">
        <f aca="false">IF(W$5="A",IF((Inputs_Actuals!W16*Contract_Register!$K$14+Inputs_Actuals!W49*Contract_Register!$L$14)=0,0,Inputs_Actuals!W82/(Inputs_Actuals!W16*Contract_Register!$K$14+Inputs_Actuals!W49*Contract_Register!$L$14)),V92*IF(AND(Assumptions!W$201&gt;Contract_Register!$T$14,MOD(Assumptions!W$201-Contract_Register!$T$14,12)=0),(1+Assumptions!$F$179)*IF(MOD(Assumptions!W$201-Contract_Register!$T$14,Assumptions!$C$90)=0,1+Assumptions!$F$180,1),1))</f>
        <v>1.05678</v>
      </c>
      <c r="X92" s="107" t="n">
        <f aca="false">IF(X$5="A",IF((Inputs_Actuals!X16*Contract_Register!$K$14+Inputs_Actuals!X49*Contract_Register!$L$14)=0,0,Inputs_Actuals!X82/(Inputs_Actuals!X16*Contract_Register!$K$14+Inputs_Actuals!X49*Contract_Register!$L$14)),W92*IF(AND(Assumptions!X$201&gt;Contract_Register!$T$14,MOD(Assumptions!X$201-Contract_Register!$T$14,12)=0),(1+Assumptions!$F$179)*IF(MOD(Assumptions!X$201-Contract_Register!$T$14,Assumptions!$C$90)=0,1+Assumptions!$F$180,1),1))</f>
        <v>1.05678</v>
      </c>
      <c r="Y92" s="107" t="n">
        <f aca="false">IF(Y$5="A",IF((Inputs_Actuals!Y16*Contract_Register!$K$14+Inputs_Actuals!Y49*Contract_Register!$L$14)=0,0,Inputs_Actuals!Y82/(Inputs_Actuals!Y16*Contract_Register!$K$14+Inputs_Actuals!Y49*Contract_Register!$L$14)),X92*IF(AND(Assumptions!Y$201&gt;Contract_Register!$T$14,MOD(Assumptions!Y$201-Contract_Register!$T$14,12)=0),(1+Assumptions!$F$179)*IF(MOD(Assumptions!Y$201-Contract_Register!$T$14,Assumptions!$C$90)=0,1+Assumptions!$F$180,1),1))</f>
        <v>1.05678</v>
      </c>
      <c r="Z92" s="107" t="n">
        <f aca="false">IF(Z$5="A",IF((Inputs_Actuals!Z16*Contract_Register!$K$14+Inputs_Actuals!Z49*Contract_Register!$L$14)=0,0,Inputs_Actuals!Z82/(Inputs_Actuals!Z16*Contract_Register!$K$14+Inputs_Actuals!Z49*Contract_Register!$L$14)),Y92*IF(AND(Assumptions!Z$201&gt;Contract_Register!$T$14,MOD(Assumptions!Z$201-Contract_Register!$T$14,12)=0),(1+Assumptions!$F$179)*IF(MOD(Assumptions!Z$201-Contract_Register!$T$14,Assumptions!$C$90)=0,1+Assumptions!$F$180,1),1))</f>
        <v>1.05678</v>
      </c>
      <c r="AA92" s="107" t="n">
        <f aca="false">IF(AA$5="A",IF((Inputs_Actuals!AA16*Contract_Register!$K$14+Inputs_Actuals!AA49*Contract_Register!$L$14)=0,0,Inputs_Actuals!AA82/(Inputs_Actuals!AA16*Contract_Register!$K$14+Inputs_Actuals!AA49*Contract_Register!$L$14)),Z92*IF(AND(Assumptions!AA$201&gt;Contract_Register!$T$14,MOD(Assumptions!AA$201-Contract_Register!$T$14,12)=0),(1+Assumptions!$F$179)*IF(MOD(Assumptions!AA$201-Contract_Register!$T$14,Assumptions!$C$90)=0,1+Assumptions!$F$180,1),1))</f>
        <v>1.05678</v>
      </c>
      <c r="AB92" s="107" t="n">
        <f aca="false">IF(AB$5="A",IF((Inputs_Actuals!AB16*Contract_Register!$K$14+Inputs_Actuals!AB49*Contract_Register!$L$14)=0,0,Inputs_Actuals!AB82/(Inputs_Actuals!AB16*Contract_Register!$K$14+Inputs_Actuals!AB49*Contract_Register!$L$14)),AA92*IF(AND(Assumptions!AB$201&gt;Contract_Register!$T$14,MOD(Assumptions!AB$201-Contract_Register!$T$14,12)=0),(1+Assumptions!$F$179)*IF(MOD(Assumptions!AB$201-Contract_Register!$T$14,Assumptions!$C$90)=0,1+Assumptions!$F$180,1),1))</f>
        <v>1.05678</v>
      </c>
    </row>
    <row r="93" customFormat="false" ht="15" hidden="false" customHeight="false" outlineLevel="0" collapsed="false">
      <c r="A93" s="27" t="s">
        <v>821</v>
      </c>
      <c r="B93" s="63" t="s">
        <v>851</v>
      </c>
      <c r="C93" s="121" t="n">
        <f aca="false">P93</f>
        <v>1.026</v>
      </c>
      <c r="D93" s="121" t="n">
        <f aca="false">AB93</f>
        <v>1.05678</v>
      </c>
      <c r="E93" s="107" t="n">
        <f aca="false">IF(E$5="A",IF((Inputs_Actuals!E17*Contract_Register!$K$15+Inputs_Actuals!E50*Contract_Register!$L$15)=0,0,Inputs_Actuals!E83/(Inputs_Actuals!E17*Contract_Register!$K$15+Inputs_Actuals!E50*Contract_Register!$L$15)),1*IF(AND(Assumptions!E$201&gt;Contract_Register!$T$15,MOD(Assumptions!E$201-Contract_Register!$T$15,12)=0),(1+Assumptions!$F$179)*IF(MOD(Assumptions!E$201-Contract_Register!$T$15,Assumptions!$C$90)=0,1+Assumptions!$F$180,1),1))</f>
        <v>1</v>
      </c>
      <c r="F93" s="107" t="n">
        <f aca="false">IF(F$5="A",IF((Inputs_Actuals!F17*Contract_Register!$K$15+Inputs_Actuals!F50*Contract_Register!$L$15)=0,0,Inputs_Actuals!F83/(Inputs_Actuals!F17*Contract_Register!$K$15+Inputs_Actuals!F50*Contract_Register!$L$15)),E93*IF(AND(Assumptions!F$201&gt;Contract_Register!$T$15,MOD(Assumptions!F$201-Contract_Register!$T$15,12)=0),(1+Assumptions!$F$179)*IF(MOD(Assumptions!F$201-Contract_Register!$T$15,Assumptions!$C$90)=0,1+Assumptions!$F$180,1),1))</f>
        <v>1</v>
      </c>
      <c r="G93" s="107" t="n">
        <f aca="false">IF(G$5="A",IF((Inputs_Actuals!G17*Contract_Register!$K$15+Inputs_Actuals!G50*Contract_Register!$L$15)=0,0,Inputs_Actuals!G83/(Inputs_Actuals!G17*Contract_Register!$K$15+Inputs_Actuals!G50*Contract_Register!$L$15)),F93*IF(AND(Assumptions!G$201&gt;Contract_Register!$T$15,MOD(Assumptions!G$201-Contract_Register!$T$15,12)=0),(1+Assumptions!$F$179)*IF(MOD(Assumptions!G$201-Contract_Register!$T$15,Assumptions!$C$90)=0,1+Assumptions!$F$180,1),1))</f>
        <v>1</v>
      </c>
      <c r="H93" s="107" t="n">
        <f aca="false">IF(H$5="A",IF((Inputs_Actuals!H17*Contract_Register!$K$15+Inputs_Actuals!H50*Contract_Register!$L$15)=0,0,Inputs_Actuals!H83/(Inputs_Actuals!H17*Contract_Register!$K$15+Inputs_Actuals!H50*Contract_Register!$L$15)),G93*IF(AND(Assumptions!H$201&gt;Contract_Register!$T$15,MOD(Assumptions!H$201-Contract_Register!$T$15,12)=0),(1+Assumptions!$F$179)*IF(MOD(Assumptions!H$201-Contract_Register!$T$15,Assumptions!$C$90)=0,1+Assumptions!$F$180,1),1))</f>
        <v>1</v>
      </c>
      <c r="I93" s="107" t="n">
        <f aca="false">IF(I$5="A",IF((Inputs_Actuals!I17*Contract_Register!$K$15+Inputs_Actuals!I50*Contract_Register!$L$15)=0,0,Inputs_Actuals!I83/(Inputs_Actuals!I17*Contract_Register!$K$15+Inputs_Actuals!I50*Contract_Register!$L$15)),H93*IF(AND(Assumptions!I$201&gt;Contract_Register!$T$15,MOD(Assumptions!I$201-Contract_Register!$T$15,12)=0),(1+Assumptions!$F$179)*IF(MOD(Assumptions!I$201-Contract_Register!$T$15,Assumptions!$C$90)=0,1+Assumptions!$F$180,1),1))</f>
        <v>1</v>
      </c>
      <c r="J93" s="107" t="n">
        <f aca="false">IF(J$5="A",IF((Inputs_Actuals!J17*Contract_Register!$K$15+Inputs_Actuals!J50*Contract_Register!$L$15)=0,0,Inputs_Actuals!J83/(Inputs_Actuals!J17*Contract_Register!$K$15+Inputs_Actuals!J50*Contract_Register!$L$15)),I93*IF(AND(Assumptions!J$201&gt;Contract_Register!$T$15,MOD(Assumptions!J$201-Contract_Register!$T$15,12)=0),(1+Assumptions!$F$179)*IF(MOD(Assumptions!J$201-Contract_Register!$T$15,Assumptions!$C$90)=0,1+Assumptions!$F$180,1),1))</f>
        <v>1</v>
      </c>
      <c r="K93" s="107" t="n">
        <f aca="false">IF(K$5="A",IF((Inputs_Actuals!K17*Contract_Register!$K$15+Inputs_Actuals!K50*Contract_Register!$L$15)=0,0,Inputs_Actuals!K83/(Inputs_Actuals!K17*Contract_Register!$K$15+Inputs_Actuals!K50*Contract_Register!$L$15)),J93*IF(AND(Assumptions!K$201&gt;Contract_Register!$T$15,MOD(Assumptions!K$201-Contract_Register!$T$15,12)=0),(1+Assumptions!$F$179)*IF(MOD(Assumptions!K$201-Contract_Register!$T$15,Assumptions!$C$90)=0,1+Assumptions!$F$180,1),1))</f>
        <v>1.026</v>
      </c>
      <c r="L93" s="107" t="n">
        <f aca="false">IF(L$5="A",IF((Inputs_Actuals!L17*Contract_Register!$K$15+Inputs_Actuals!L50*Contract_Register!$L$15)=0,0,Inputs_Actuals!L83/(Inputs_Actuals!L17*Contract_Register!$K$15+Inputs_Actuals!L50*Contract_Register!$L$15)),K93*IF(AND(Assumptions!L$201&gt;Contract_Register!$T$15,MOD(Assumptions!L$201-Contract_Register!$T$15,12)=0),(1+Assumptions!$F$179)*IF(MOD(Assumptions!L$201-Contract_Register!$T$15,Assumptions!$C$90)=0,1+Assumptions!$F$180,1),1))</f>
        <v>1.026</v>
      </c>
      <c r="M93" s="107" t="n">
        <f aca="false">IF(M$5="A",IF((Inputs_Actuals!M17*Contract_Register!$K$15+Inputs_Actuals!M50*Contract_Register!$L$15)=0,0,Inputs_Actuals!M83/(Inputs_Actuals!M17*Contract_Register!$K$15+Inputs_Actuals!M50*Contract_Register!$L$15)),L93*IF(AND(Assumptions!M$201&gt;Contract_Register!$T$15,MOD(Assumptions!M$201-Contract_Register!$T$15,12)=0),(1+Assumptions!$F$179)*IF(MOD(Assumptions!M$201-Contract_Register!$T$15,Assumptions!$C$90)=0,1+Assumptions!$F$180,1),1))</f>
        <v>1.026</v>
      </c>
      <c r="N93" s="107" t="n">
        <f aca="false">IF(N$5="A",IF((Inputs_Actuals!N17*Contract_Register!$K$15+Inputs_Actuals!N50*Contract_Register!$L$15)=0,0,Inputs_Actuals!N83/(Inputs_Actuals!N17*Contract_Register!$K$15+Inputs_Actuals!N50*Contract_Register!$L$15)),M93*IF(AND(Assumptions!N$201&gt;Contract_Register!$T$15,MOD(Assumptions!N$201-Contract_Register!$T$15,12)=0),(1+Assumptions!$F$179)*IF(MOD(Assumptions!N$201-Contract_Register!$T$15,Assumptions!$C$90)=0,1+Assumptions!$F$180,1),1))</f>
        <v>1.026</v>
      </c>
      <c r="O93" s="107" t="n">
        <f aca="false">IF(O$5="A",IF((Inputs_Actuals!O17*Contract_Register!$K$15+Inputs_Actuals!O50*Contract_Register!$L$15)=0,0,Inputs_Actuals!O83/(Inputs_Actuals!O17*Contract_Register!$K$15+Inputs_Actuals!O50*Contract_Register!$L$15)),N93*IF(AND(Assumptions!O$201&gt;Contract_Register!$T$15,MOD(Assumptions!O$201-Contract_Register!$T$15,12)=0),(1+Assumptions!$F$179)*IF(MOD(Assumptions!O$201-Contract_Register!$T$15,Assumptions!$C$90)=0,1+Assumptions!$F$180,1),1))</f>
        <v>1.026</v>
      </c>
      <c r="P93" s="107" t="n">
        <f aca="false">IF(P$5="A",IF((Inputs_Actuals!P17*Contract_Register!$K$15+Inputs_Actuals!P50*Contract_Register!$L$15)=0,0,Inputs_Actuals!P83/(Inputs_Actuals!P17*Contract_Register!$K$15+Inputs_Actuals!P50*Contract_Register!$L$15)),O93*IF(AND(Assumptions!P$201&gt;Contract_Register!$T$15,MOD(Assumptions!P$201-Contract_Register!$T$15,12)=0),(1+Assumptions!$F$179)*IF(MOD(Assumptions!P$201-Contract_Register!$T$15,Assumptions!$C$90)=0,1+Assumptions!$F$180,1),1))</f>
        <v>1.026</v>
      </c>
      <c r="Q93" s="107" t="n">
        <f aca="false">IF(Q$5="A",IF((Inputs_Actuals!Q17*Contract_Register!$K$15+Inputs_Actuals!Q50*Contract_Register!$L$15)=0,0,Inputs_Actuals!Q83/(Inputs_Actuals!Q17*Contract_Register!$K$15+Inputs_Actuals!Q50*Contract_Register!$L$15)),P93*IF(AND(Assumptions!Q$201&gt;Contract_Register!$T$15,MOD(Assumptions!Q$201-Contract_Register!$T$15,12)=0),(1+Assumptions!$F$179)*IF(MOD(Assumptions!Q$201-Contract_Register!$T$15,Assumptions!$C$90)=0,1+Assumptions!$F$180,1),1))</f>
        <v>1.026</v>
      </c>
      <c r="R93" s="107" t="n">
        <f aca="false">IF(R$5="A",IF((Inputs_Actuals!R17*Contract_Register!$K$15+Inputs_Actuals!R50*Contract_Register!$L$15)=0,0,Inputs_Actuals!R83/(Inputs_Actuals!R17*Contract_Register!$K$15+Inputs_Actuals!R50*Contract_Register!$L$15)),Q93*IF(AND(Assumptions!R$201&gt;Contract_Register!$T$15,MOD(Assumptions!R$201-Contract_Register!$T$15,12)=0),(1+Assumptions!$F$179)*IF(MOD(Assumptions!R$201-Contract_Register!$T$15,Assumptions!$C$90)=0,1+Assumptions!$F$180,1),1))</f>
        <v>1.026</v>
      </c>
      <c r="S93" s="107" t="n">
        <f aca="false">IF(S$5="A",IF((Inputs_Actuals!S17*Contract_Register!$K$15+Inputs_Actuals!S50*Contract_Register!$L$15)=0,0,Inputs_Actuals!S83/(Inputs_Actuals!S17*Contract_Register!$K$15+Inputs_Actuals!S50*Contract_Register!$L$15)),R93*IF(AND(Assumptions!S$201&gt;Contract_Register!$T$15,MOD(Assumptions!S$201-Contract_Register!$T$15,12)=0),(1+Assumptions!$F$179)*IF(MOD(Assumptions!S$201-Contract_Register!$T$15,Assumptions!$C$90)=0,1+Assumptions!$F$180,1),1))</f>
        <v>1.026</v>
      </c>
      <c r="T93" s="107" t="n">
        <f aca="false">IF(T$5="A",IF((Inputs_Actuals!T17*Contract_Register!$K$15+Inputs_Actuals!T50*Contract_Register!$L$15)=0,0,Inputs_Actuals!T83/(Inputs_Actuals!T17*Contract_Register!$K$15+Inputs_Actuals!T50*Contract_Register!$L$15)),S93*IF(AND(Assumptions!T$201&gt;Contract_Register!$T$15,MOD(Assumptions!T$201-Contract_Register!$T$15,12)=0),(1+Assumptions!$F$179)*IF(MOD(Assumptions!T$201-Contract_Register!$T$15,Assumptions!$C$90)=0,1+Assumptions!$F$180,1),1))</f>
        <v>1.026</v>
      </c>
      <c r="U93" s="107" t="n">
        <f aca="false">IF(U$5="A",IF((Inputs_Actuals!U17*Contract_Register!$K$15+Inputs_Actuals!U50*Contract_Register!$L$15)=0,0,Inputs_Actuals!U83/(Inputs_Actuals!U17*Contract_Register!$K$15+Inputs_Actuals!U50*Contract_Register!$L$15)),T93*IF(AND(Assumptions!U$201&gt;Contract_Register!$T$15,MOD(Assumptions!U$201-Contract_Register!$T$15,12)=0),(1+Assumptions!$F$179)*IF(MOD(Assumptions!U$201-Contract_Register!$T$15,Assumptions!$C$90)=0,1+Assumptions!$F$180,1),1))</f>
        <v>1.026</v>
      </c>
      <c r="V93" s="107" t="n">
        <f aca="false">IF(V$5="A",IF((Inputs_Actuals!V17*Contract_Register!$K$15+Inputs_Actuals!V50*Contract_Register!$L$15)=0,0,Inputs_Actuals!V83/(Inputs_Actuals!V17*Contract_Register!$K$15+Inputs_Actuals!V50*Contract_Register!$L$15)),U93*IF(AND(Assumptions!V$201&gt;Contract_Register!$T$15,MOD(Assumptions!V$201-Contract_Register!$T$15,12)=0),(1+Assumptions!$F$179)*IF(MOD(Assumptions!V$201-Contract_Register!$T$15,Assumptions!$C$90)=0,1+Assumptions!$F$180,1),1))</f>
        <v>1.026</v>
      </c>
      <c r="W93" s="107" t="n">
        <f aca="false">IF(W$5="A",IF((Inputs_Actuals!W17*Contract_Register!$K$15+Inputs_Actuals!W50*Contract_Register!$L$15)=0,0,Inputs_Actuals!W83/(Inputs_Actuals!W17*Contract_Register!$K$15+Inputs_Actuals!W50*Contract_Register!$L$15)),V93*IF(AND(Assumptions!W$201&gt;Contract_Register!$T$15,MOD(Assumptions!W$201-Contract_Register!$T$15,12)=0),(1+Assumptions!$F$179)*IF(MOD(Assumptions!W$201-Contract_Register!$T$15,Assumptions!$C$90)=0,1+Assumptions!$F$180,1),1))</f>
        <v>1.05678</v>
      </c>
      <c r="X93" s="107" t="n">
        <f aca="false">IF(X$5="A",IF((Inputs_Actuals!X17*Contract_Register!$K$15+Inputs_Actuals!X50*Contract_Register!$L$15)=0,0,Inputs_Actuals!X83/(Inputs_Actuals!X17*Contract_Register!$K$15+Inputs_Actuals!X50*Contract_Register!$L$15)),W93*IF(AND(Assumptions!X$201&gt;Contract_Register!$T$15,MOD(Assumptions!X$201-Contract_Register!$T$15,12)=0),(1+Assumptions!$F$179)*IF(MOD(Assumptions!X$201-Contract_Register!$T$15,Assumptions!$C$90)=0,1+Assumptions!$F$180,1),1))</f>
        <v>1.05678</v>
      </c>
      <c r="Y93" s="107" t="n">
        <f aca="false">IF(Y$5="A",IF((Inputs_Actuals!Y17*Contract_Register!$K$15+Inputs_Actuals!Y50*Contract_Register!$L$15)=0,0,Inputs_Actuals!Y83/(Inputs_Actuals!Y17*Contract_Register!$K$15+Inputs_Actuals!Y50*Contract_Register!$L$15)),X93*IF(AND(Assumptions!Y$201&gt;Contract_Register!$T$15,MOD(Assumptions!Y$201-Contract_Register!$T$15,12)=0),(1+Assumptions!$F$179)*IF(MOD(Assumptions!Y$201-Contract_Register!$T$15,Assumptions!$C$90)=0,1+Assumptions!$F$180,1),1))</f>
        <v>1.05678</v>
      </c>
      <c r="Z93" s="107" t="n">
        <f aca="false">IF(Z$5="A",IF((Inputs_Actuals!Z17*Contract_Register!$K$15+Inputs_Actuals!Z50*Contract_Register!$L$15)=0,0,Inputs_Actuals!Z83/(Inputs_Actuals!Z17*Contract_Register!$K$15+Inputs_Actuals!Z50*Contract_Register!$L$15)),Y93*IF(AND(Assumptions!Z$201&gt;Contract_Register!$T$15,MOD(Assumptions!Z$201-Contract_Register!$T$15,12)=0),(1+Assumptions!$F$179)*IF(MOD(Assumptions!Z$201-Contract_Register!$T$15,Assumptions!$C$90)=0,1+Assumptions!$F$180,1),1))</f>
        <v>1.05678</v>
      </c>
      <c r="AA93" s="107" t="n">
        <f aca="false">IF(AA$5="A",IF((Inputs_Actuals!AA17*Contract_Register!$K$15+Inputs_Actuals!AA50*Contract_Register!$L$15)=0,0,Inputs_Actuals!AA83/(Inputs_Actuals!AA17*Contract_Register!$K$15+Inputs_Actuals!AA50*Contract_Register!$L$15)),Z93*IF(AND(Assumptions!AA$201&gt;Contract_Register!$T$15,MOD(Assumptions!AA$201-Contract_Register!$T$15,12)=0),(1+Assumptions!$F$179)*IF(MOD(Assumptions!AA$201-Contract_Register!$T$15,Assumptions!$C$90)=0,1+Assumptions!$F$180,1),1))</f>
        <v>1.05678</v>
      </c>
      <c r="AB93" s="107" t="n">
        <f aca="false">IF(AB$5="A",IF((Inputs_Actuals!AB17*Contract_Register!$K$15+Inputs_Actuals!AB50*Contract_Register!$L$15)=0,0,Inputs_Actuals!AB83/(Inputs_Actuals!AB17*Contract_Register!$K$15+Inputs_Actuals!AB50*Contract_Register!$L$15)),AA93*IF(AND(Assumptions!AB$201&gt;Contract_Register!$T$15,MOD(Assumptions!AB$201-Contract_Register!$T$15,12)=0),(1+Assumptions!$F$179)*IF(MOD(Assumptions!AB$201-Contract_Register!$T$15,Assumptions!$C$90)=0,1+Assumptions!$F$180,1),1))</f>
        <v>1.05678</v>
      </c>
    </row>
    <row r="94" customFormat="false" ht="15" hidden="false" customHeight="false" outlineLevel="0" collapsed="false">
      <c r="A94" s="27" t="s">
        <v>822</v>
      </c>
      <c r="B94" s="63" t="s">
        <v>851</v>
      </c>
      <c r="C94" s="121" t="n">
        <f aca="false">P94</f>
        <v>1.03</v>
      </c>
      <c r="D94" s="121" t="n">
        <f aca="false">AB94</f>
        <v>1.0609</v>
      </c>
      <c r="E94" s="107" t="n">
        <f aca="false">IF(E$5="A",IF((Inputs_Actuals!E18*Contract_Register!$K$16+Inputs_Actuals!E51*Contract_Register!$L$16)=0,0,Inputs_Actuals!E84/(Inputs_Actuals!E18*Contract_Register!$K$16+Inputs_Actuals!E51*Contract_Register!$L$16)),1*IF(AND(Assumptions!E$201&gt;Contract_Register!$T$16,MOD(Assumptions!E$201-Contract_Register!$T$16,12)=0),(1+Assumptions!$F$179)*IF(MOD(Assumptions!E$201-Contract_Register!$T$16,Assumptions!$C$90)=0,1+Assumptions!$F$180,1),1))</f>
        <v>1</v>
      </c>
      <c r="F94" s="107" t="n">
        <f aca="false">IF(F$5="A",IF((Inputs_Actuals!F18*Contract_Register!$K$16+Inputs_Actuals!F51*Contract_Register!$L$16)=0,0,Inputs_Actuals!F84/(Inputs_Actuals!F18*Contract_Register!$K$16+Inputs_Actuals!F51*Contract_Register!$L$16)),E94*IF(AND(Assumptions!F$201&gt;Contract_Register!$T$16,MOD(Assumptions!F$201-Contract_Register!$T$16,12)=0),(1+Assumptions!$F$179)*IF(MOD(Assumptions!F$201-Contract_Register!$T$16,Assumptions!$C$90)=0,1+Assumptions!$F$180,1),1))</f>
        <v>1</v>
      </c>
      <c r="G94" s="107" t="n">
        <f aca="false">IF(G$5="A",IF((Inputs_Actuals!G18*Contract_Register!$K$16+Inputs_Actuals!G51*Contract_Register!$L$16)=0,0,Inputs_Actuals!G84/(Inputs_Actuals!G18*Contract_Register!$K$16+Inputs_Actuals!G51*Contract_Register!$L$16)),F94*IF(AND(Assumptions!G$201&gt;Contract_Register!$T$16,MOD(Assumptions!G$201-Contract_Register!$T$16,12)=0),(1+Assumptions!$F$179)*IF(MOD(Assumptions!G$201-Contract_Register!$T$16,Assumptions!$C$90)=0,1+Assumptions!$F$180,1),1))</f>
        <v>1</v>
      </c>
      <c r="H94" s="107" t="n">
        <f aca="false">IF(H$5="A",IF((Inputs_Actuals!H18*Contract_Register!$K$16+Inputs_Actuals!H51*Contract_Register!$L$16)=0,0,Inputs_Actuals!H84/(Inputs_Actuals!H18*Contract_Register!$K$16+Inputs_Actuals!H51*Contract_Register!$L$16)),G94*IF(AND(Assumptions!H$201&gt;Contract_Register!$T$16,MOD(Assumptions!H$201-Contract_Register!$T$16,12)=0),(1+Assumptions!$F$179)*IF(MOD(Assumptions!H$201-Contract_Register!$T$16,Assumptions!$C$90)=0,1+Assumptions!$F$180,1),1))</f>
        <v>1</v>
      </c>
      <c r="I94" s="107" t="n">
        <f aca="false">IF(I$5="A",IF((Inputs_Actuals!I18*Contract_Register!$K$16+Inputs_Actuals!I51*Contract_Register!$L$16)=0,0,Inputs_Actuals!I84/(Inputs_Actuals!I18*Contract_Register!$K$16+Inputs_Actuals!I51*Contract_Register!$L$16)),H94*IF(AND(Assumptions!I$201&gt;Contract_Register!$T$16,MOD(Assumptions!I$201-Contract_Register!$T$16,12)=0),(1+Assumptions!$F$179)*IF(MOD(Assumptions!I$201-Contract_Register!$T$16,Assumptions!$C$90)=0,1+Assumptions!$F$180,1),1))</f>
        <v>1</v>
      </c>
      <c r="J94" s="107" t="n">
        <f aca="false">IF(J$5="A",IF((Inputs_Actuals!J18*Contract_Register!$K$16+Inputs_Actuals!J51*Contract_Register!$L$16)=0,0,Inputs_Actuals!J84/(Inputs_Actuals!J18*Contract_Register!$K$16+Inputs_Actuals!J51*Contract_Register!$L$16)),I94*IF(AND(Assumptions!J$201&gt;Contract_Register!$T$16,MOD(Assumptions!J$201-Contract_Register!$T$16,12)=0),(1+Assumptions!$F$179)*IF(MOD(Assumptions!J$201-Contract_Register!$T$16,Assumptions!$C$90)=0,1+Assumptions!$F$180,1),1))</f>
        <v>1</v>
      </c>
      <c r="K94" s="107" t="n">
        <f aca="false">IF(K$5="A",IF((Inputs_Actuals!K18*Contract_Register!$K$16+Inputs_Actuals!K51*Contract_Register!$L$16)=0,0,Inputs_Actuals!K84/(Inputs_Actuals!K18*Contract_Register!$K$16+Inputs_Actuals!K51*Contract_Register!$L$16)),J94*IF(AND(Assumptions!K$201&gt;Contract_Register!$T$16,MOD(Assumptions!K$201-Contract_Register!$T$16,12)=0),(1+Assumptions!$F$179)*IF(MOD(Assumptions!K$201-Contract_Register!$T$16,Assumptions!$C$90)=0,1+Assumptions!$F$180,1),1))</f>
        <v>1</v>
      </c>
      <c r="L94" s="107" t="n">
        <f aca="false">IF(L$5="A",IF((Inputs_Actuals!L18*Contract_Register!$K$16+Inputs_Actuals!L51*Contract_Register!$L$16)=0,0,Inputs_Actuals!L84/(Inputs_Actuals!L18*Contract_Register!$K$16+Inputs_Actuals!L51*Contract_Register!$L$16)),K94*IF(AND(Assumptions!L$201&gt;Contract_Register!$T$16,MOD(Assumptions!L$201-Contract_Register!$T$16,12)=0),(1+Assumptions!$F$179)*IF(MOD(Assumptions!L$201-Contract_Register!$T$16,Assumptions!$C$90)=0,1+Assumptions!$F$180,1),1))</f>
        <v>1</v>
      </c>
      <c r="M94" s="107" t="n">
        <f aca="false">IF(M$5="A",IF((Inputs_Actuals!M18*Contract_Register!$K$16+Inputs_Actuals!M51*Contract_Register!$L$16)=0,0,Inputs_Actuals!M84/(Inputs_Actuals!M18*Contract_Register!$K$16+Inputs_Actuals!M51*Contract_Register!$L$16)),L94*IF(AND(Assumptions!M$201&gt;Contract_Register!$T$16,MOD(Assumptions!M$201-Contract_Register!$T$16,12)=0),(1+Assumptions!$F$179)*IF(MOD(Assumptions!M$201-Contract_Register!$T$16,Assumptions!$C$90)=0,1+Assumptions!$F$180,1),1))</f>
        <v>1</v>
      </c>
      <c r="N94" s="107" t="n">
        <f aca="false">IF(N$5="A",IF((Inputs_Actuals!N18*Contract_Register!$K$16+Inputs_Actuals!N51*Contract_Register!$L$16)=0,0,Inputs_Actuals!N84/(Inputs_Actuals!N18*Contract_Register!$K$16+Inputs_Actuals!N51*Contract_Register!$L$16)),M94*IF(AND(Assumptions!N$201&gt;Contract_Register!$T$16,MOD(Assumptions!N$201-Contract_Register!$T$16,12)=0),(1+Assumptions!$F$179)*IF(MOD(Assumptions!N$201-Contract_Register!$T$16,Assumptions!$C$90)=0,1+Assumptions!$F$180,1),1))</f>
        <v>1.03</v>
      </c>
      <c r="O94" s="107" t="n">
        <f aca="false">IF(O$5="A",IF((Inputs_Actuals!O18*Contract_Register!$K$16+Inputs_Actuals!O51*Contract_Register!$L$16)=0,0,Inputs_Actuals!O84/(Inputs_Actuals!O18*Contract_Register!$K$16+Inputs_Actuals!O51*Contract_Register!$L$16)),N94*IF(AND(Assumptions!O$201&gt;Contract_Register!$T$16,MOD(Assumptions!O$201-Contract_Register!$T$16,12)=0),(1+Assumptions!$F$179)*IF(MOD(Assumptions!O$201-Contract_Register!$T$16,Assumptions!$C$90)=0,1+Assumptions!$F$180,1),1))</f>
        <v>1.03</v>
      </c>
      <c r="P94" s="107" t="n">
        <f aca="false">IF(P$5="A",IF((Inputs_Actuals!P18*Contract_Register!$K$16+Inputs_Actuals!P51*Contract_Register!$L$16)=0,0,Inputs_Actuals!P84/(Inputs_Actuals!P18*Contract_Register!$K$16+Inputs_Actuals!P51*Contract_Register!$L$16)),O94*IF(AND(Assumptions!P$201&gt;Contract_Register!$T$16,MOD(Assumptions!P$201-Contract_Register!$T$16,12)=0),(1+Assumptions!$F$179)*IF(MOD(Assumptions!P$201-Contract_Register!$T$16,Assumptions!$C$90)=0,1+Assumptions!$F$180,1),1))</f>
        <v>1.03</v>
      </c>
      <c r="Q94" s="107" t="n">
        <f aca="false">IF(Q$5="A",IF((Inputs_Actuals!Q18*Contract_Register!$K$16+Inputs_Actuals!Q51*Contract_Register!$L$16)=0,0,Inputs_Actuals!Q84/(Inputs_Actuals!Q18*Contract_Register!$K$16+Inputs_Actuals!Q51*Contract_Register!$L$16)),P94*IF(AND(Assumptions!Q$201&gt;Contract_Register!$T$16,MOD(Assumptions!Q$201-Contract_Register!$T$16,12)=0),(1+Assumptions!$F$179)*IF(MOD(Assumptions!Q$201-Contract_Register!$T$16,Assumptions!$C$90)=0,1+Assumptions!$F$180,1),1))</f>
        <v>1.03</v>
      </c>
      <c r="R94" s="107" t="n">
        <f aca="false">IF(R$5="A",IF((Inputs_Actuals!R18*Contract_Register!$K$16+Inputs_Actuals!R51*Contract_Register!$L$16)=0,0,Inputs_Actuals!R84/(Inputs_Actuals!R18*Contract_Register!$K$16+Inputs_Actuals!R51*Contract_Register!$L$16)),Q94*IF(AND(Assumptions!R$201&gt;Contract_Register!$T$16,MOD(Assumptions!R$201-Contract_Register!$T$16,12)=0),(1+Assumptions!$F$179)*IF(MOD(Assumptions!R$201-Contract_Register!$T$16,Assumptions!$C$90)=0,1+Assumptions!$F$180,1),1))</f>
        <v>1.03</v>
      </c>
      <c r="S94" s="107" t="n">
        <f aca="false">IF(S$5="A",IF((Inputs_Actuals!S18*Contract_Register!$K$16+Inputs_Actuals!S51*Contract_Register!$L$16)=0,0,Inputs_Actuals!S84/(Inputs_Actuals!S18*Contract_Register!$K$16+Inputs_Actuals!S51*Contract_Register!$L$16)),R94*IF(AND(Assumptions!S$201&gt;Contract_Register!$T$16,MOD(Assumptions!S$201-Contract_Register!$T$16,12)=0),(1+Assumptions!$F$179)*IF(MOD(Assumptions!S$201-Contract_Register!$T$16,Assumptions!$C$90)=0,1+Assumptions!$F$180,1),1))</f>
        <v>1.03</v>
      </c>
      <c r="T94" s="107" t="n">
        <f aca="false">IF(T$5="A",IF((Inputs_Actuals!T18*Contract_Register!$K$16+Inputs_Actuals!T51*Contract_Register!$L$16)=0,0,Inputs_Actuals!T84/(Inputs_Actuals!T18*Contract_Register!$K$16+Inputs_Actuals!T51*Contract_Register!$L$16)),S94*IF(AND(Assumptions!T$201&gt;Contract_Register!$T$16,MOD(Assumptions!T$201-Contract_Register!$T$16,12)=0),(1+Assumptions!$F$179)*IF(MOD(Assumptions!T$201-Contract_Register!$T$16,Assumptions!$C$90)=0,1+Assumptions!$F$180,1),1))</f>
        <v>1.03</v>
      </c>
      <c r="U94" s="107" t="n">
        <f aca="false">IF(U$5="A",IF((Inputs_Actuals!U18*Contract_Register!$K$16+Inputs_Actuals!U51*Contract_Register!$L$16)=0,0,Inputs_Actuals!U84/(Inputs_Actuals!U18*Contract_Register!$K$16+Inputs_Actuals!U51*Contract_Register!$L$16)),T94*IF(AND(Assumptions!U$201&gt;Contract_Register!$T$16,MOD(Assumptions!U$201-Contract_Register!$T$16,12)=0),(1+Assumptions!$F$179)*IF(MOD(Assumptions!U$201-Contract_Register!$T$16,Assumptions!$C$90)=0,1+Assumptions!$F$180,1),1))</f>
        <v>1.03</v>
      </c>
      <c r="V94" s="107" t="n">
        <f aca="false">IF(V$5="A",IF((Inputs_Actuals!V18*Contract_Register!$K$16+Inputs_Actuals!V51*Contract_Register!$L$16)=0,0,Inputs_Actuals!V84/(Inputs_Actuals!V18*Contract_Register!$K$16+Inputs_Actuals!V51*Contract_Register!$L$16)),U94*IF(AND(Assumptions!V$201&gt;Contract_Register!$T$16,MOD(Assumptions!V$201-Contract_Register!$T$16,12)=0),(1+Assumptions!$F$179)*IF(MOD(Assumptions!V$201-Contract_Register!$T$16,Assumptions!$C$90)=0,1+Assumptions!$F$180,1),1))</f>
        <v>1.03</v>
      </c>
      <c r="W94" s="107" t="n">
        <f aca="false">IF(W$5="A",IF((Inputs_Actuals!W18*Contract_Register!$K$16+Inputs_Actuals!W51*Contract_Register!$L$16)=0,0,Inputs_Actuals!W84/(Inputs_Actuals!W18*Contract_Register!$K$16+Inputs_Actuals!W51*Contract_Register!$L$16)),V94*IF(AND(Assumptions!W$201&gt;Contract_Register!$T$16,MOD(Assumptions!W$201-Contract_Register!$T$16,12)=0),(1+Assumptions!$F$179)*IF(MOD(Assumptions!W$201-Contract_Register!$T$16,Assumptions!$C$90)=0,1+Assumptions!$F$180,1),1))</f>
        <v>1.03</v>
      </c>
      <c r="X94" s="107" t="n">
        <f aca="false">IF(X$5="A",IF((Inputs_Actuals!X18*Contract_Register!$K$16+Inputs_Actuals!X51*Contract_Register!$L$16)=0,0,Inputs_Actuals!X84/(Inputs_Actuals!X18*Contract_Register!$K$16+Inputs_Actuals!X51*Contract_Register!$L$16)),W94*IF(AND(Assumptions!X$201&gt;Contract_Register!$T$16,MOD(Assumptions!X$201-Contract_Register!$T$16,12)=0),(1+Assumptions!$F$179)*IF(MOD(Assumptions!X$201-Contract_Register!$T$16,Assumptions!$C$90)=0,1+Assumptions!$F$180,1),1))</f>
        <v>1.03</v>
      </c>
      <c r="Y94" s="107" t="n">
        <f aca="false">IF(Y$5="A",IF((Inputs_Actuals!Y18*Contract_Register!$K$16+Inputs_Actuals!Y51*Contract_Register!$L$16)=0,0,Inputs_Actuals!Y84/(Inputs_Actuals!Y18*Contract_Register!$K$16+Inputs_Actuals!Y51*Contract_Register!$L$16)),X94*IF(AND(Assumptions!Y$201&gt;Contract_Register!$T$16,MOD(Assumptions!Y$201-Contract_Register!$T$16,12)=0),(1+Assumptions!$F$179)*IF(MOD(Assumptions!Y$201-Contract_Register!$T$16,Assumptions!$C$90)=0,1+Assumptions!$F$180,1),1))</f>
        <v>1.03</v>
      </c>
      <c r="Z94" s="107" t="n">
        <f aca="false">IF(Z$5="A",IF((Inputs_Actuals!Z18*Contract_Register!$K$16+Inputs_Actuals!Z51*Contract_Register!$L$16)=0,0,Inputs_Actuals!Z84/(Inputs_Actuals!Z18*Contract_Register!$K$16+Inputs_Actuals!Z51*Contract_Register!$L$16)),Y94*IF(AND(Assumptions!Z$201&gt;Contract_Register!$T$16,MOD(Assumptions!Z$201-Contract_Register!$T$16,12)=0),(1+Assumptions!$F$179)*IF(MOD(Assumptions!Z$201-Contract_Register!$T$16,Assumptions!$C$90)=0,1+Assumptions!$F$180,1),1))</f>
        <v>1.0609</v>
      </c>
      <c r="AA94" s="107" t="n">
        <f aca="false">IF(AA$5="A",IF((Inputs_Actuals!AA18*Contract_Register!$K$16+Inputs_Actuals!AA51*Contract_Register!$L$16)=0,0,Inputs_Actuals!AA84/(Inputs_Actuals!AA18*Contract_Register!$K$16+Inputs_Actuals!AA51*Contract_Register!$L$16)),Z94*IF(AND(Assumptions!AA$201&gt;Contract_Register!$T$16,MOD(Assumptions!AA$201-Contract_Register!$T$16,12)=0),(1+Assumptions!$F$179)*IF(MOD(Assumptions!AA$201-Contract_Register!$T$16,Assumptions!$C$90)=0,1+Assumptions!$F$180,1),1))</f>
        <v>1.0609</v>
      </c>
      <c r="AB94" s="107" t="n">
        <f aca="false">IF(AB$5="A",IF((Inputs_Actuals!AB18*Contract_Register!$K$16+Inputs_Actuals!AB51*Contract_Register!$L$16)=0,0,Inputs_Actuals!AB84/(Inputs_Actuals!AB18*Contract_Register!$K$16+Inputs_Actuals!AB51*Contract_Register!$L$16)),AA94*IF(AND(Assumptions!AB$201&gt;Contract_Register!$T$16,MOD(Assumptions!AB$201-Contract_Register!$T$16,12)=0),(1+Assumptions!$F$179)*IF(MOD(Assumptions!AB$201-Contract_Register!$T$16,Assumptions!$C$90)=0,1+Assumptions!$F$180,1),1))</f>
        <v>1.0609</v>
      </c>
    </row>
    <row r="95" customFormat="false" ht="15" hidden="false" customHeight="false" outlineLevel="0" collapsed="false">
      <c r="A95" s="27" t="s">
        <v>823</v>
      </c>
      <c r="B95" s="63" t="s">
        <v>851</v>
      </c>
      <c r="C95" s="121" t="n">
        <f aca="false">P95</f>
        <v>1.02599950024988</v>
      </c>
      <c r="D95" s="121" t="n">
        <f aca="false">AB95</f>
        <v>1.05677948525737</v>
      </c>
      <c r="E95" s="107" t="n">
        <f aca="false">IF(E$5="A",IF((Inputs_Actuals!E19*Contract_Register!$K$17+Inputs_Actuals!E52*Contract_Register!$L$17)=0,0,Inputs_Actuals!E85/(Inputs_Actuals!E19*Contract_Register!$K$17+Inputs_Actuals!E52*Contract_Register!$L$17)),1*IF(AND(Assumptions!E$201&gt;Contract_Register!$T$17,MOD(Assumptions!E$201-Contract_Register!$T$17,12)=0),(1+Assumptions!$F$179)*IF(MOD(Assumptions!E$201-Contract_Register!$T$17,Assumptions!$C$90)=0,1+Assumptions!$F$180,1),1))</f>
        <v>1</v>
      </c>
      <c r="F95" s="107" t="n">
        <f aca="false">IF(F$5="A",IF((Inputs_Actuals!F19*Contract_Register!$K$17+Inputs_Actuals!F52*Contract_Register!$L$17)=0,0,Inputs_Actuals!F85/(Inputs_Actuals!F19*Contract_Register!$K$17+Inputs_Actuals!F52*Contract_Register!$L$17)),E95*IF(AND(Assumptions!F$201&gt;Contract_Register!$T$17,MOD(Assumptions!F$201-Contract_Register!$T$17,12)=0),(1+Assumptions!$F$179)*IF(MOD(Assumptions!F$201-Contract_Register!$T$17,Assumptions!$C$90)=0,1+Assumptions!$F$180,1),1))</f>
        <v>1</v>
      </c>
      <c r="G95" s="107" t="n">
        <f aca="false">IF(G$5="A",IF((Inputs_Actuals!G19*Contract_Register!$K$17+Inputs_Actuals!G52*Contract_Register!$L$17)=0,0,Inputs_Actuals!G85/(Inputs_Actuals!G19*Contract_Register!$K$17+Inputs_Actuals!G52*Contract_Register!$L$17)),F95*IF(AND(Assumptions!G$201&gt;Contract_Register!$T$17,MOD(Assumptions!G$201-Contract_Register!$T$17,12)=0),(1+Assumptions!$F$179)*IF(MOD(Assumptions!G$201-Contract_Register!$T$17,Assumptions!$C$90)=0,1+Assumptions!$F$180,1),1))</f>
        <v>1</v>
      </c>
      <c r="H95" s="107" t="n">
        <f aca="false">IF(H$5="A",IF((Inputs_Actuals!H19*Contract_Register!$K$17+Inputs_Actuals!H52*Contract_Register!$L$17)=0,0,Inputs_Actuals!H85/(Inputs_Actuals!H19*Contract_Register!$K$17+Inputs_Actuals!H52*Contract_Register!$L$17)),G95*IF(AND(Assumptions!H$201&gt;Contract_Register!$T$17,MOD(Assumptions!H$201-Contract_Register!$T$17,12)=0),(1+Assumptions!$F$179)*IF(MOD(Assumptions!H$201-Contract_Register!$T$17,Assumptions!$C$90)=0,1+Assumptions!$F$180,1),1))</f>
        <v>1</v>
      </c>
      <c r="I95" s="107" t="n">
        <f aca="false">IF(I$5="A",IF((Inputs_Actuals!I19*Contract_Register!$K$17+Inputs_Actuals!I52*Contract_Register!$L$17)=0,0,Inputs_Actuals!I85/(Inputs_Actuals!I19*Contract_Register!$K$17+Inputs_Actuals!I52*Contract_Register!$L$17)),H95*IF(AND(Assumptions!I$201&gt;Contract_Register!$T$17,MOD(Assumptions!I$201-Contract_Register!$T$17,12)=0),(1+Assumptions!$F$179)*IF(MOD(Assumptions!I$201-Contract_Register!$T$17,Assumptions!$C$90)=0,1+Assumptions!$F$180,1),1))</f>
        <v>1</v>
      </c>
      <c r="J95" s="107" t="n">
        <f aca="false">IF(J$5="A",IF((Inputs_Actuals!J19*Contract_Register!$K$17+Inputs_Actuals!J52*Contract_Register!$L$17)=0,0,Inputs_Actuals!J85/(Inputs_Actuals!J19*Contract_Register!$K$17+Inputs_Actuals!J52*Contract_Register!$L$17)),I95*IF(AND(Assumptions!J$201&gt;Contract_Register!$T$17,MOD(Assumptions!J$201-Contract_Register!$T$17,12)=0),(1+Assumptions!$F$179)*IF(MOD(Assumptions!J$201-Contract_Register!$T$17,Assumptions!$C$90)=0,1+Assumptions!$F$180,1),1))</f>
        <v>1</v>
      </c>
      <c r="K95" s="107" t="n">
        <f aca="false">IF(K$5="A",IF((Inputs_Actuals!K19*Contract_Register!$K$17+Inputs_Actuals!K52*Contract_Register!$L$17)=0,0,Inputs_Actuals!K85/(Inputs_Actuals!K19*Contract_Register!$K$17+Inputs_Actuals!K52*Contract_Register!$L$17)),J95*IF(AND(Assumptions!K$201&gt;Contract_Register!$T$17,MOD(Assumptions!K$201-Contract_Register!$T$17,12)=0),(1+Assumptions!$F$179)*IF(MOD(Assumptions!K$201-Contract_Register!$T$17,Assumptions!$C$90)=0,1+Assumptions!$F$180,1),1))</f>
        <v>1</v>
      </c>
      <c r="L95" s="107" t="n">
        <f aca="false">IF(L$5="A",IF((Inputs_Actuals!L19*Contract_Register!$K$17+Inputs_Actuals!L52*Contract_Register!$L$17)=0,0,Inputs_Actuals!L85/(Inputs_Actuals!L19*Contract_Register!$K$17+Inputs_Actuals!L52*Contract_Register!$L$17)),K95*IF(AND(Assumptions!L$201&gt;Contract_Register!$T$17,MOD(Assumptions!L$201-Contract_Register!$T$17,12)=0),(1+Assumptions!$F$179)*IF(MOD(Assumptions!L$201-Contract_Register!$T$17,Assumptions!$C$90)=0,1+Assumptions!$F$180,1),1))</f>
        <v>1.02599950024988</v>
      </c>
      <c r="M95" s="107" t="n">
        <f aca="false">IF(M$5="A",IF((Inputs_Actuals!M19*Contract_Register!$K$17+Inputs_Actuals!M52*Contract_Register!$L$17)=0,0,Inputs_Actuals!M85/(Inputs_Actuals!M19*Contract_Register!$K$17+Inputs_Actuals!M52*Contract_Register!$L$17)),L95*IF(AND(Assumptions!M$201&gt;Contract_Register!$T$17,MOD(Assumptions!M$201-Contract_Register!$T$17,12)=0),(1+Assumptions!$F$179)*IF(MOD(Assumptions!M$201-Contract_Register!$T$17,Assumptions!$C$90)=0,1+Assumptions!$F$180,1),1))</f>
        <v>1.02599950024988</v>
      </c>
      <c r="N95" s="107" t="n">
        <f aca="false">IF(N$5="A",IF((Inputs_Actuals!N19*Contract_Register!$K$17+Inputs_Actuals!N52*Contract_Register!$L$17)=0,0,Inputs_Actuals!N85/(Inputs_Actuals!N19*Contract_Register!$K$17+Inputs_Actuals!N52*Contract_Register!$L$17)),M95*IF(AND(Assumptions!N$201&gt;Contract_Register!$T$17,MOD(Assumptions!N$201-Contract_Register!$T$17,12)=0),(1+Assumptions!$F$179)*IF(MOD(Assumptions!N$201-Contract_Register!$T$17,Assumptions!$C$90)=0,1+Assumptions!$F$180,1),1))</f>
        <v>1.02599950024988</v>
      </c>
      <c r="O95" s="107" t="n">
        <f aca="false">IF(O$5="A",IF((Inputs_Actuals!O19*Contract_Register!$K$17+Inputs_Actuals!O52*Contract_Register!$L$17)=0,0,Inputs_Actuals!O85/(Inputs_Actuals!O19*Contract_Register!$K$17+Inputs_Actuals!O52*Contract_Register!$L$17)),N95*IF(AND(Assumptions!O$201&gt;Contract_Register!$T$17,MOD(Assumptions!O$201-Contract_Register!$T$17,12)=0),(1+Assumptions!$F$179)*IF(MOD(Assumptions!O$201-Contract_Register!$T$17,Assumptions!$C$90)=0,1+Assumptions!$F$180,1),1))</f>
        <v>1.02599950024988</v>
      </c>
      <c r="P95" s="107" t="n">
        <f aca="false">IF(P$5="A",IF((Inputs_Actuals!P19*Contract_Register!$K$17+Inputs_Actuals!P52*Contract_Register!$L$17)=0,0,Inputs_Actuals!P85/(Inputs_Actuals!P19*Contract_Register!$K$17+Inputs_Actuals!P52*Contract_Register!$L$17)),O95*IF(AND(Assumptions!P$201&gt;Contract_Register!$T$17,MOD(Assumptions!P$201-Contract_Register!$T$17,12)=0),(1+Assumptions!$F$179)*IF(MOD(Assumptions!P$201-Contract_Register!$T$17,Assumptions!$C$90)=0,1+Assumptions!$F$180,1),1))</f>
        <v>1.02599950024988</v>
      </c>
      <c r="Q95" s="107" t="n">
        <f aca="false">IF(Q$5="A",IF((Inputs_Actuals!Q19*Contract_Register!$K$17+Inputs_Actuals!Q52*Contract_Register!$L$17)=0,0,Inputs_Actuals!Q85/(Inputs_Actuals!Q19*Contract_Register!$K$17+Inputs_Actuals!Q52*Contract_Register!$L$17)),P95*IF(AND(Assumptions!Q$201&gt;Contract_Register!$T$17,MOD(Assumptions!Q$201-Contract_Register!$T$17,12)=0),(1+Assumptions!$F$179)*IF(MOD(Assumptions!Q$201-Contract_Register!$T$17,Assumptions!$C$90)=0,1+Assumptions!$F$180,1),1))</f>
        <v>1.02599950024988</v>
      </c>
      <c r="R95" s="107" t="n">
        <f aca="false">IF(R$5="A",IF((Inputs_Actuals!R19*Contract_Register!$K$17+Inputs_Actuals!R52*Contract_Register!$L$17)=0,0,Inputs_Actuals!R85/(Inputs_Actuals!R19*Contract_Register!$K$17+Inputs_Actuals!R52*Contract_Register!$L$17)),Q95*IF(AND(Assumptions!R$201&gt;Contract_Register!$T$17,MOD(Assumptions!R$201-Contract_Register!$T$17,12)=0),(1+Assumptions!$F$179)*IF(MOD(Assumptions!R$201-Contract_Register!$T$17,Assumptions!$C$90)=0,1+Assumptions!$F$180,1),1))</f>
        <v>1.02599950024988</v>
      </c>
      <c r="S95" s="107" t="n">
        <f aca="false">IF(S$5="A",IF((Inputs_Actuals!S19*Contract_Register!$K$17+Inputs_Actuals!S52*Contract_Register!$L$17)=0,0,Inputs_Actuals!S85/(Inputs_Actuals!S19*Contract_Register!$K$17+Inputs_Actuals!S52*Contract_Register!$L$17)),R95*IF(AND(Assumptions!S$201&gt;Contract_Register!$T$17,MOD(Assumptions!S$201-Contract_Register!$T$17,12)=0),(1+Assumptions!$F$179)*IF(MOD(Assumptions!S$201-Contract_Register!$T$17,Assumptions!$C$90)=0,1+Assumptions!$F$180,1),1))</f>
        <v>1.02599950024988</v>
      </c>
      <c r="T95" s="107" t="n">
        <f aca="false">IF(T$5="A",IF((Inputs_Actuals!T19*Contract_Register!$K$17+Inputs_Actuals!T52*Contract_Register!$L$17)=0,0,Inputs_Actuals!T85/(Inputs_Actuals!T19*Contract_Register!$K$17+Inputs_Actuals!T52*Contract_Register!$L$17)),S95*IF(AND(Assumptions!T$201&gt;Contract_Register!$T$17,MOD(Assumptions!T$201-Contract_Register!$T$17,12)=0),(1+Assumptions!$F$179)*IF(MOD(Assumptions!T$201-Contract_Register!$T$17,Assumptions!$C$90)=0,1+Assumptions!$F$180,1),1))</f>
        <v>1.02599950024988</v>
      </c>
      <c r="U95" s="107" t="n">
        <f aca="false">IF(U$5="A",IF((Inputs_Actuals!U19*Contract_Register!$K$17+Inputs_Actuals!U52*Contract_Register!$L$17)=0,0,Inputs_Actuals!U85/(Inputs_Actuals!U19*Contract_Register!$K$17+Inputs_Actuals!U52*Contract_Register!$L$17)),T95*IF(AND(Assumptions!U$201&gt;Contract_Register!$T$17,MOD(Assumptions!U$201-Contract_Register!$T$17,12)=0),(1+Assumptions!$F$179)*IF(MOD(Assumptions!U$201-Contract_Register!$T$17,Assumptions!$C$90)=0,1+Assumptions!$F$180,1),1))</f>
        <v>1.02599950024988</v>
      </c>
      <c r="V95" s="107" t="n">
        <f aca="false">IF(V$5="A",IF((Inputs_Actuals!V19*Contract_Register!$K$17+Inputs_Actuals!V52*Contract_Register!$L$17)=0,0,Inputs_Actuals!V85/(Inputs_Actuals!V19*Contract_Register!$K$17+Inputs_Actuals!V52*Contract_Register!$L$17)),U95*IF(AND(Assumptions!V$201&gt;Contract_Register!$T$17,MOD(Assumptions!V$201-Contract_Register!$T$17,12)=0),(1+Assumptions!$F$179)*IF(MOD(Assumptions!V$201-Contract_Register!$T$17,Assumptions!$C$90)=0,1+Assumptions!$F$180,1),1))</f>
        <v>1.02599950024988</v>
      </c>
      <c r="W95" s="107" t="n">
        <f aca="false">IF(W$5="A",IF((Inputs_Actuals!W19*Contract_Register!$K$17+Inputs_Actuals!W52*Contract_Register!$L$17)=0,0,Inputs_Actuals!W85/(Inputs_Actuals!W19*Contract_Register!$K$17+Inputs_Actuals!W52*Contract_Register!$L$17)),V95*IF(AND(Assumptions!W$201&gt;Contract_Register!$T$17,MOD(Assumptions!W$201-Contract_Register!$T$17,12)=0),(1+Assumptions!$F$179)*IF(MOD(Assumptions!W$201-Contract_Register!$T$17,Assumptions!$C$90)=0,1+Assumptions!$F$180,1),1))</f>
        <v>1.02599950024988</v>
      </c>
      <c r="X95" s="107" t="n">
        <f aca="false">IF(X$5="A",IF((Inputs_Actuals!X19*Contract_Register!$K$17+Inputs_Actuals!X52*Contract_Register!$L$17)=0,0,Inputs_Actuals!X85/(Inputs_Actuals!X19*Contract_Register!$K$17+Inputs_Actuals!X52*Contract_Register!$L$17)),W95*IF(AND(Assumptions!X$201&gt;Contract_Register!$T$17,MOD(Assumptions!X$201-Contract_Register!$T$17,12)=0),(1+Assumptions!$F$179)*IF(MOD(Assumptions!X$201-Contract_Register!$T$17,Assumptions!$C$90)=0,1+Assumptions!$F$180,1),1))</f>
        <v>1.05677948525737</v>
      </c>
      <c r="Y95" s="107" t="n">
        <f aca="false">IF(Y$5="A",IF((Inputs_Actuals!Y19*Contract_Register!$K$17+Inputs_Actuals!Y52*Contract_Register!$L$17)=0,0,Inputs_Actuals!Y85/(Inputs_Actuals!Y19*Contract_Register!$K$17+Inputs_Actuals!Y52*Contract_Register!$L$17)),X95*IF(AND(Assumptions!Y$201&gt;Contract_Register!$T$17,MOD(Assumptions!Y$201-Contract_Register!$T$17,12)=0),(1+Assumptions!$F$179)*IF(MOD(Assumptions!Y$201-Contract_Register!$T$17,Assumptions!$C$90)=0,1+Assumptions!$F$180,1),1))</f>
        <v>1.05677948525737</v>
      </c>
      <c r="Z95" s="107" t="n">
        <f aca="false">IF(Z$5="A",IF((Inputs_Actuals!Z19*Contract_Register!$K$17+Inputs_Actuals!Z52*Contract_Register!$L$17)=0,0,Inputs_Actuals!Z85/(Inputs_Actuals!Z19*Contract_Register!$K$17+Inputs_Actuals!Z52*Contract_Register!$L$17)),Y95*IF(AND(Assumptions!Z$201&gt;Contract_Register!$T$17,MOD(Assumptions!Z$201-Contract_Register!$T$17,12)=0),(1+Assumptions!$F$179)*IF(MOD(Assumptions!Z$201-Contract_Register!$T$17,Assumptions!$C$90)=0,1+Assumptions!$F$180,1),1))</f>
        <v>1.05677948525737</v>
      </c>
      <c r="AA95" s="107" t="n">
        <f aca="false">IF(AA$5="A",IF((Inputs_Actuals!AA19*Contract_Register!$K$17+Inputs_Actuals!AA52*Contract_Register!$L$17)=0,0,Inputs_Actuals!AA85/(Inputs_Actuals!AA19*Contract_Register!$K$17+Inputs_Actuals!AA52*Contract_Register!$L$17)),Z95*IF(AND(Assumptions!AA$201&gt;Contract_Register!$T$17,MOD(Assumptions!AA$201-Contract_Register!$T$17,12)=0),(1+Assumptions!$F$179)*IF(MOD(Assumptions!AA$201-Contract_Register!$T$17,Assumptions!$C$90)=0,1+Assumptions!$F$180,1),1))</f>
        <v>1.05677948525737</v>
      </c>
      <c r="AB95" s="107" t="n">
        <f aca="false">IF(AB$5="A",IF((Inputs_Actuals!AB19*Contract_Register!$K$17+Inputs_Actuals!AB52*Contract_Register!$L$17)=0,0,Inputs_Actuals!AB85/(Inputs_Actuals!AB19*Contract_Register!$K$17+Inputs_Actuals!AB52*Contract_Register!$L$17)),AA95*IF(AND(Assumptions!AB$201&gt;Contract_Register!$T$17,MOD(Assumptions!AB$201-Contract_Register!$T$17,12)=0),(1+Assumptions!$F$179)*IF(MOD(Assumptions!AB$201-Contract_Register!$T$17,Assumptions!$C$90)=0,1+Assumptions!$F$180,1),1))</f>
        <v>1.05677948525737</v>
      </c>
    </row>
    <row r="96" customFormat="false" ht="15" hidden="false" customHeight="false" outlineLevel="0" collapsed="false">
      <c r="A96" s="27" t="s">
        <v>824</v>
      </c>
      <c r="B96" s="63" t="s">
        <v>851</v>
      </c>
      <c r="C96" s="121" t="n">
        <f aca="false">P96</f>
        <v>1.03</v>
      </c>
      <c r="D96" s="121" t="n">
        <f aca="false">AB96</f>
        <v>1.0609</v>
      </c>
      <c r="E96" s="107" t="n">
        <f aca="false">IF(E$5="A",IF((Inputs_Actuals!E20*Contract_Register!$K$18+Inputs_Actuals!E53*Contract_Register!$L$18)=0,0,Inputs_Actuals!E86/(Inputs_Actuals!E20*Contract_Register!$K$18+Inputs_Actuals!E53*Contract_Register!$L$18)),1*IF(AND(Assumptions!E$201&gt;Contract_Register!$T$18,MOD(Assumptions!E$201-Contract_Register!$T$18,12)=0),(1+Assumptions!$F$179)*IF(MOD(Assumptions!E$201-Contract_Register!$T$18,Assumptions!$C$90)=0,1+Assumptions!$F$180,1),1))</f>
        <v>1</v>
      </c>
      <c r="F96" s="107" t="n">
        <f aca="false">IF(F$5="A",IF((Inputs_Actuals!F20*Contract_Register!$K$18+Inputs_Actuals!F53*Contract_Register!$L$18)=0,0,Inputs_Actuals!F86/(Inputs_Actuals!F20*Contract_Register!$K$18+Inputs_Actuals!F53*Contract_Register!$L$18)),E96*IF(AND(Assumptions!F$201&gt;Contract_Register!$T$18,MOD(Assumptions!F$201-Contract_Register!$T$18,12)=0),(1+Assumptions!$F$179)*IF(MOD(Assumptions!F$201-Contract_Register!$T$18,Assumptions!$C$90)=0,1+Assumptions!$F$180,1),1))</f>
        <v>1</v>
      </c>
      <c r="G96" s="107" t="n">
        <f aca="false">IF(G$5="A",IF((Inputs_Actuals!G20*Contract_Register!$K$18+Inputs_Actuals!G53*Contract_Register!$L$18)=0,0,Inputs_Actuals!G86/(Inputs_Actuals!G20*Contract_Register!$K$18+Inputs_Actuals!G53*Contract_Register!$L$18)),F96*IF(AND(Assumptions!G$201&gt;Contract_Register!$T$18,MOD(Assumptions!G$201-Contract_Register!$T$18,12)=0),(1+Assumptions!$F$179)*IF(MOD(Assumptions!G$201-Contract_Register!$T$18,Assumptions!$C$90)=0,1+Assumptions!$F$180,1),1))</f>
        <v>1</v>
      </c>
      <c r="H96" s="107" t="n">
        <f aca="false">IF(H$5="A",IF((Inputs_Actuals!H20*Contract_Register!$K$18+Inputs_Actuals!H53*Contract_Register!$L$18)=0,0,Inputs_Actuals!H86/(Inputs_Actuals!H20*Contract_Register!$K$18+Inputs_Actuals!H53*Contract_Register!$L$18)),G96*IF(AND(Assumptions!H$201&gt;Contract_Register!$T$18,MOD(Assumptions!H$201-Contract_Register!$T$18,12)=0),(1+Assumptions!$F$179)*IF(MOD(Assumptions!H$201-Contract_Register!$T$18,Assumptions!$C$90)=0,1+Assumptions!$F$180,1),1))</f>
        <v>1</v>
      </c>
      <c r="I96" s="107" t="n">
        <f aca="false">IF(I$5="A",IF((Inputs_Actuals!I20*Contract_Register!$K$18+Inputs_Actuals!I53*Contract_Register!$L$18)=0,0,Inputs_Actuals!I86/(Inputs_Actuals!I20*Contract_Register!$K$18+Inputs_Actuals!I53*Contract_Register!$L$18)),H96*IF(AND(Assumptions!I$201&gt;Contract_Register!$T$18,MOD(Assumptions!I$201-Contract_Register!$T$18,12)=0),(1+Assumptions!$F$179)*IF(MOD(Assumptions!I$201-Contract_Register!$T$18,Assumptions!$C$90)=0,1+Assumptions!$F$180,1),1))</f>
        <v>1</v>
      </c>
      <c r="J96" s="107" t="n">
        <f aca="false">IF(J$5="A",IF((Inputs_Actuals!J20*Contract_Register!$K$18+Inputs_Actuals!J53*Contract_Register!$L$18)=0,0,Inputs_Actuals!J86/(Inputs_Actuals!J20*Contract_Register!$K$18+Inputs_Actuals!J53*Contract_Register!$L$18)),I96*IF(AND(Assumptions!J$201&gt;Contract_Register!$T$18,MOD(Assumptions!J$201-Contract_Register!$T$18,12)=0),(1+Assumptions!$F$179)*IF(MOD(Assumptions!J$201-Contract_Register!$T$18,Assumptions!$C$90)=0,1+Assumptions!$F$180,1),1))</f>
        <v>1</v>
      </c>
      <c r="K96" s="107" t="n">
        <f aca="false">IF(K$5="A",IF((Inputs_Actuals!K20*Contract_Register!$K$18+Inputs_Actuals!K53*Contract_Register!$L$18)=0,0,Inputs_Actuals!K86/(Inputs_Actuals!K20*Contract_Register!$K$18+Inputs_Actuals!K53*Contract_Register!$L$18)),J96*IF(AND(Assumptions!K$201&gt;Contract_Register!$T$18,MOD(Assumptions!K$201-Contract_Register!$T$18,12)=0),(1+Assumptions!$F$179)*IF(MOD(Assumptions!K$201-Contract_Register!$T$18,Assumptions!$C$90)=0,1+Assumptions!$F$180,1),1))</f>
        <v>1</v>
      </c>
      <c r="L96" s="107" t="n">
        <f aca="false">IF(L$5="A",IF((Inputs_Actuals!L20*Contract_Register!$K$18+Inputs_Actuals!L53*Contract_Register!$L$18)=0,0,Inputs_Actuals!L86/(Inputs_Actuals!L20*Contract_Register!$K$18+Inputs_Actuals!L53*Contract_Register!$L$18)),K96*IF(AND(Assumptions!L$201&gt;Contract_Register!$T$18,MOD(Assumptions!L$201-Contract_Register!$T$18,12)=0),(1+Assumptions!$F$179)*IF(MOD(Assumptions!L$201-Contract_Register!$T$18,Assumptions!$C$90)=0,1+Assumptions!$F$180,1),1))</f>
        <v>1</v>
      </c>
      <c r="M96" s="107" t="n">
        <f aca="false">IF(M$5="A",IF((Inputs_Actuals!M20*Contract_Register!$K$18+Inputs_Actuals!M53*Contract_Register!$L$18)=0,0,Inputs_Actuals!M86/(Inputs_Actuals!M20*Contract_Register!$K$18+Inputs_Actuals!M53*Contract_Register!$L$18)),L96*IF(AND(Assumptions!M$201&gt;Contract_Register!$T$18,MOD(Assumptions!M$201-Contract_Register!$T$18,12)=0),(1+Assumptions!$F$179)*IF(MOD(Assumptions!M$201-Contract_Register!$T$18,Assumptions!$C$90)=0,1+Assumptions!$F$180,1),1))</f>
        <v>1</v>
      </c>
      <c r="N96" s="107" t="n">
        <f aca="false">IF(N$5="A",IF((Inputs_Actuals!N20*Contract_Register!$K$18+Inputs_Actuals!N53*Contract_Register!$L$18)=0,0,Inputs_Actuals!N86/(Inputs_Actuals!N20*Contract_Register!$K$18+Inputs_Actuals!N53*Contract_Register!$L$18)),M96*IF(AND(Assumptions!N$201&gt;Contract_Register!$T$18,MOD(Assumptions!N$201-Contract_Register!$T$18,12)=0),(1+Assumptions!$F$179)*IF(MOD(Assumptions!N$201-Contract_Register!$T$18,Assumptions!$C$90)=0,1+Assumptions!$F$180,1),1))</f>
        <v>1</v>
      </c>
      <c r="O96" s="107" t="n">
        <f aca="false">IF(O$5="A",IF((Inputs_Actuals!O20*Contract_Register!$K$18+Inputs_Actuals!O53*Contract_Register!$L$18)=0,0,Inputs_Actuals!O86/(Inputs_Actuals!O20*Contract_Register!$K$18+Inputs_Actuals!O53*Contract_Register!$L$18)),N96*IF(AND(Assumptions!O$201&gt;Contract_Register!$T$18,MOD(Assumptions!O$201-Contract_Register!$T$18,12)=0),(1+Assumptions!$F$179)*IF(MOD(Assumptions!O$201-Contract_Register!$T$18,Assumptions!$C$90)=0,1+Assumptions!$F$180,1),1))</f>
        <v>1.03</v>
      </c>
      <c r="P96" s="107" t="n">
        <f aca="false">IF(P$5="A",IF((Inputs_Actuals!P20*Contract_Register!$K$18+Inputs_Actuals!P53*Contract_Register!$L$18)=0,0,Inputs_Actuals!P86/(Inputs_Actuals!P20*Contract_Register!$K$18+Inputs_Actuals!P53*Contract_Register!$L$18)),O96*IF(AND(Assumptions!P$201&gt;Contract_Register!$T$18,MOD(Assumptions!P$201-Contract_Register!$T$18,12)=0),(1+Assumptions!$F$179)*IF(MOD(Assumptions!P$201-Contract_Register!$T$18,Assumptions!$C$90)=0,1+Assumptions!$F$180,1),1))</f>
        <v>1.03</v>
      </c>
      <c r="Q96" s="107" t="n">
        <f aca="false">IF(Q$5="A",IF((Inputs_Actuals!Q20*Contract_Register!$K$18+Inputs_Actuals!Q53*Contract_Register!$L$18)=0,0,Inputs_Actuals!Q86/(Inputs_Actuals!Q20*Contract_Register!$K$18+Inputs_Actuals!Q53*Contract_Register!$L$18)),P96*IF(AND(Assumptions!Q$201&gt;Contract_Register!$T$18,MOD(Assumptions!Q$201-Contract_Register!$T$18,12)=0),(1+Assumptions!$F$179)*IF(MOD(Assumptions!Q$201-Contract_Register!$T$18,Assumptions!$C$90)=0,1+Assumptions!$F$180,1),1))</f>
        <v>1.03</v>
      </c>
      <c r="R96" s="107" t="n">
        <f aca="false">IF(R$5="A",IF((Inputs_Actuals!R20*Contract_Register!$K$18+Inputs_Actuals!R53*Contract_Register!$L$18)=0,0,Inputs_Actuals!R86/(Inputs_Actuals!R20*Contract_Register!$K$18+Inputs_Actuals!R53*Contract_Register!$L$18)),Q96*IF(AND(Assumptions!R$201&gt;Contract_Register!$T$18,MOD(Assumptions!R$201-Contract_Register!$T$18,12)=0),(1+Assumptions!$F$179)*IF(MOD(Assumptions!R$201-Contract_Register!$T$18,Assumptions!$C$90)=0,1+Assumptions!$F$180,1),1))</f>
        <v>1.03</v>
      </c>
      <c r="S96" s="107" t="n">
        <f aca="false">IF(S$5="A",IF((Inputs_Actuals!S20*Contract_Register!$K$18+Inputs_Actuals!S53*Contract_Register!$L$18)=0,0,Inputs_Actuals!S86/(Inputs_Actuals!S20*Contract_Register!$K$18+Inputs_Actuals!S53*Contract_Register!$L$18)),R96*IF(AND(Assumptions!S$201&gt;Contract_Register!$T$18,MOD(Assumptions!S$201-Contract_Register!$T$18,12)=0),(1+Assumptions!$F$179)*IF(MOD(Assumptions!S$201-Contract_Register!$T$18,Assumptions!$C$90)=0,1+Assumptions!$F$180,1),1))</f>
        <v>1.03</v>
      </c>
      <c r="T96" s="107" t="n">
        <f aca="false">IF(T$5="A",IF((Inputs_Actuals!T20*Contract_Register!$K$18+Inputs_Actuals!T53*Contract_Register!$L$18)=0,0,Inputs_Actuals!T86/(Inputs_Actuals!T20*Contract_Register!$K$18+Inputs_Actuals!T53*Contract_Register!$L$18)),S96*IF(AND(Assumptions!T$201&gt;Contract_Register!$T$18,MOD(Assumptions!T$201-Contract_Register!$T$18,12)=0),(1+Assumptions!$F$179)*IF(MOD(Assumptions!T$201-Contract_Register!$T$18,Assumptions!$C$90)=0,1+Assumptions!$F$180,1),1))</f>
        <v>1.03</v>
      </c>
      <c r="U96" s="107" t="n">
        <f aca="false">IF(U$5="A",IF((Inputs_Actuals!U20*Contract_Register!$K$18+Inputs_Actuals!U53*Contract_Register!$L$18)=0,0,Inputs_Actuals!U86/(Inputs_Actuals!U20*Contract_Register!$K$18+Inputs_Actuals!U53*Contract_Register!$L$18)),T96*IF(AND(Assumptions!U$201&gt;Contract_Register!$T$18,MOD(Assumptions!U$201-Contract_Register!$T$18,12)=0),(1+Assumptions!$F$179)*IF(MOD(Assumptions!U$201-Contract_Register!$T$18,Assumptions!$C$90)=0,1+Assumptions!$F$180,1),1))</f>
        <v>1.03</v>
      </c>
      <c r="V96" s="107" t="n">
        <f aca="false">IF(V$5="A",IF((Inputs_Actuals!V20*Contract_Register!$K$18+Inputs_Actuals!V53*Contract_Register!$L$18)=0,0,Inputs_Actuals!V86/(Inputs_Actuals!V20*Contract_Register!$K$18+Inputs_Actuals!V53*Contract_Register!$L$18)),U96*IF(AND(Assumptions!V$201&gt;Contract_Register!$T$18,MOD(Assumptions!V$201-Contract_Register!$T$18,12)=0),(1+Assumptions!$F$179)*IF(MOD(Assumptions!V$201-Contract_Register!$T$18,Assumptions!$C$90)=0,1+Assumptions!$F$180,1),1))</f>
        <v>1.03</v>
      </c>
      <c r="W96" s="107" t="n">
        <f aca="false">IF(W$5="A",IF((Inputs_Actuals!W20*Contract_Register!$K$18+Inputs_Actuals!W53*Contract_Register!$L$18)=0,0,Inputs_Actuals!W86/(Inputs_Actuals!W20*Contract_Register!$K$18+Inputs_Actuals!W53*Contract_Register!$L$18)),V96*IF(AND(Assumptions!W$201&gt;Contract_Register!$T$18,MOD(Assumptions!W$201-Contract_Register!$T$18,12)=0),(1+Assumptions!$F$179)*IF(MOD(Assumptions!W$201-Contract_Register!$T$18,Assumptions!$C$90)=0,1+Assumptions!$F$180,1),1))</f>
        <v>1.03</v>
      </c>
      <c r="X96" s="107" t="n">
        <f aca="false">IF(X$5="A",IF((Inputs_Actuals!X20*Contract_Register!$K$18+Inputs_Actuals!X53*Contract_Register!$L$18)=0,0,Inputs_Actuals!X86/(Inputs_Actuals!X20*Contract_Register!$K$18+Inputs_Actuals!X53*Contract_Register!$L$18)),W96*IF(AND(Assumptions!X$201&gt;Contract_Register!$T$18,MOD(Assumptions!X$201-Contract_Register!$T$18,12)=0),(1+Assumptions!$F$179)*IF(MOD(Assumptions!X$201-Contract_Register!$T$18,Assumptions!$C$90)=0,1+Assumptions!$F$180,1),1))</f>
        <v>1.03</v>
      </c>
      <c r="Y96" s="107" t="n">
        <f aca="false">IF(Y$5="A",IF((Inputs_Actuals!Y20*Contract_Register!$K$18+Inputs_Actuals!Y53*Contract_Register!$L$18)=0,0,Inputs_Actuals!Y86/(Inputs_Actuals!Y20*Contract_Register!$K$18+Inputs_Actuals!Y53*Contract_Register!$L$18)),X96*IF(AND(Assumptions!Y$201&gt;Contract_Register!$T$18,MOD(Assumptions!Y$201-Contract_Register!$T$18,12)=0),(1+Assumptions!$F$179)*IF(MOD(Assumptions!Y$201-Contract_Register!$T$18,Assumptions!$C$90)=0,1+Assumptions!$F$180,1),1))</f>
        <v>1.03</v>
      </c>
      <c r="Z96" s="107" t="n">
        <f aca="false">IF(Z$5="A",IF((Inputs_Actuals!Z20*Contract_Register!$K$18+Inputs_Actuals!Z53*Contract_Register!$L$18)=0,0,Inputs_Actuals!Z86/(Inputs_Actuals!Z20*Contract_Register!$K$18+Inputs_Actuals!Z53*Contract_Register!$L$18)),Y96*IF(AND(Assumptions!Z$201&gt;Contract_Register!$T$18,MOD(Assumptions!Z$201-Contract_Register!$T$18,12)=0),(1+Assumptions!$F$179)*IF(MOD(Assumptions!Z$201-Contract_Register!$T$18,Assumptions!$C$90)=0,1+Assumptions!$F$180,1),1))</f>
        <v>1.03</v>
      </c>
      <c r="AA96" s="107" t="n">
        <f aca="false">IF(AA$5="A",IF((Inputs_Actuals!AA20*Contract_Register!$K$18+Inputs_Actuals!AA53*Contract_Register!$L$18)=0,0,Inputs_Actuals!AA86/(Inputs_Actuals!AA20*Contract_Register!$K$18+Inputs_Actuals!AA53*Contract_Register!$L$18)),Z96*IF(AND(Assumptions!AA$201&gt;Contract_Register!$T$18,MOD(Assumptions!AA$201-Contract_Register!$T$18,12)=0),(1+Assumptions!$F$179)*IF(MOD(Assumptions!AA$201-Contract_Register!$T$18,Assumptions!$C$90)=0,1+Assumptions!$F$180,1),1))</f>
        <v>1.0609</v>
      </c>
      <c r="AB96" s="107" t="n">
        <f aca="false">IF(AB$5="A",IF((Inputs_Actuals!AB20*Contract_Register!$K$18+Inputs_Actuals!AB53*Contract_Register!$L$18)=0,0,Inputs_Actuals!AB86/(Inputs_Actuals!AB20*Contract_Register!$K$18+Inputs_Actuals!AB53*Contract_Register!$L$18)),AA96*IF(AND(Assumptions!AB$201&gt;Contract_Register!$T$18,MOD(Assumptions!AB$201-Contract_Register!$T$18,12)=0),(1+Assumptions!$F$179)*IF(MOD(Assumptions!AB$201-Contract_Register!$T$18,Assumptions!$C$90)=0,1+Assumptions!$F$180,1),1))</f>
        <v>1.0609</v>
      </c>
    </row>
    <row r="97" customFormat="false" ht="15" hidden="false" customHeight="false" outlineLevel="0" collapsed="false">
      <c r="A97" s="27" t="s">
        <v>825</v>
      </c>
      <c r="B97" s="63" t="s">
        <v>851</v>
      </c>
      <c r="C97" s="121" t="n">
        <f aca="false">P97</f>
        <v>1.025999537786</v>
      </c>
      <c r="D97" s="121" t="n">
        <f aca="false">AB97</f>
        <v>1.05677952391957</v>
      </c>
      <c r="E97" s="107" t="n">
        <f aca="false">IF(E$5="A",IF((Inputs_Actuals!E21*Contract_Register!$K$19+Inputs_Actuals!E54*Contract_Register!$L$19)=0,0,Inputs_Actuals!E87/(Inputs_Actuals!E21*Contract_Register!$K$19+Inputs_Actuals!E54*Contract_Register!$L$19)),1*IF(AND(Assumptions!E$201&gt;Contract_Register!$T$19,MOD(Assumptions!E$201-Contract_Register!$T$19,12)=0),(1+Assumptions!$F$179)*IF(MOD(Assumptions!E$201-Contract_Register!$T$19,Assumptions!$C$90)=0,1+Assumptions!$F$180,1),1))</f>
        <v>1</v>
      </c>
      <c r="F97" s="107" t="n">
        <f aca="false">IF(F$5="A",IF((Inputs_Actuals!F21*Contract_Register!$K$19+Inputs_Actuals!F54*Contract_Register!$L$19)=0,0,Inputs_Actuals!F87/(Inputs_Actuals!F21*Contract_Register!$K$19+Inputs_Actuals!F54*Contract_Register!$L$19)),E97*IF(AND(Assumptions!F$201&gt;Contract_Register!$T$19,MOD(Assumptions!F$201-Contract_Register!$T$19,12)=0),(1+Assumptions!$F$179)*IF(MOD(Assumptions!F$201-Contract_Register!$T$19,Assumptions!$C$90)=0,1+Assumptions!$F$180,1),1))</f>
        <v>1</v>
      </c>
      <c r="G97" s="107" t="n">
        <f aca="false">IF(G$5="A",IF((Inputs_Actuals!G21*Contract_Register!$K$19+Inputs_Actuals!G54*Contract_Register!$L$19)=0,0,Inputs_Actuals!G87/(Inputs_Actuals!G21*Contract_Register!$K$19+Inputs_Actuals!G54*Contract_Register!$L$19)),F97*IF(AND(Assumptions!G$201&gt;Contract_Register!$T$19,MOD(Assumptions!G$201-Contract_Register!$T$19,12)=0),(1+Assumptions!$F$179)*IF(MOD(Assumptions!G$201-Contract_Register!$T$19,Assumptions!$C$90)=0,1+Assumptions!$F$180,1),1))</f>
        <v>1.026</v>
      </c>
      <c r="H97" s="107" t="n">
        <f aca="false">IF(H$5="A",IF((Inputs_Actuals!H21*Contract_Register!$K$19+Inputs_Actuals!H54*Contract_Register!$L$19)=0,0,Inputs_Actuals!H87/(Inputs_Actuals!H21*Contract_Register!$K$19+Inputs_Actuals!H54*Contract_Register!$L$19)),G97*IF(AND(Assumptions!H$201&gt;Contract_Register!$T$19,MOD(Assumptions!H$201-Contract_Register!$T$19,12)=0),(1+Assumptions!$F$179)*IF(MOD(Assumptions!H$201-Contract_Register!$T$19,Assumptions!$C$90)=0,1+Assumptions!$F$180,1),1))</f>
        <v>1.025999537786</v>
      </c>
      <c r="I97" s="107" t="n">
        <f aca="false">IF(I$5="A",IF((Inputs_Actuals!I21*Contract_Register!$K$19+Inputs_Actuals!I54*Contract_Register!$L$19)=0,0,Inputs_Actuals!I87/(Inputs_Actuals!I21*Contract_Register!$K$19+Inputs_Actuals!I54*Contract_Register!$L$19)),H97*IF(AND(Assumptions!I$201&gt;Contract_Register!$T$19,MOD(Assumptions!I$201-Contract_Register!$T$19,12)=0),(1+Assumptions!$F$179)*IF(MOD(Assumptions!I$201-Contract_Register!$T$19,Assumptions!$C$90)=0,1+Assumptions!$F$180,1),1))</f>
        <v>1.025999537786</v>
      </c>
      <c r="J97" s="107" t="n">
        <f aca="false">IF(J$5="A",IF((Inputs_Actuals!J21*Contract_Register!$K$19+Inputs_Actuals!J54*Contract_Register!$L$19)=0,0,Inputs_Actuals!J87/(Inputs_Actuals!J21*Contract_Register!$K$19+Inputs_Actuals!J54*Contract_Register!$L$19)),I97*IF(AND(Assumptions!J$201&gt;Contract_Register!$T$19,MOD(Assumptions!J$201-Contract_Register!$T$19,12)=0),(1+Assumptions!$F$179)*IF(MOD(Assumptions!J$201-Contract_Register!$T$19,Assumptions!$C$90)=0,1+Assumptions!$F$180,1),1))</f>
        <v>1.025999537786</v>
      </c>
      <c r="K97" s="107" t="n">
        <f aca="false">IF(K$5="A",IF((Inputs_Actuals!K21*Contract_Register!$K$19+Inputs_Actuals!K54*Contract_Register!$L$19)=0,0,Inputs_Actuals!K87/(Inputs_Actuals!K21*Contract_Register!$K$19+Inputs_Actuals!K54*Contract_Register!$L$19)),J97*IF(AND(Assumptions!K$201&gt;Contract_Register!$T$19,MOD(Assumptions!K$201-Contract_Register!$T$19,12)=0),(1+Assumptions!$F$179)*IF(MOD(Assumptions!K$201-Contract_Register!$T$19,Assumptions!$C$90)=0,1+Assumptions!$F$180,1),1))</f>
        <v>1.025999537786</v>
      </c>
      <c r="L97" s="107" t="n">
        <f aca="false">IF(L$5="A",IF((Inputs_Actuals!L21*Contract_Register!$K$19+Inputs_Actuals!L54*Contract_Register!$L$19)=0,0,Inputs_Actuals!L87/(Inputs_Actuals!L21*Contract_Register!$K$19+Inputs_Actuals!L54*Contract_Register!$L$19)),K97*IF(AND(Assumptions!L$201&gt;Contract_Register!$T$19,MOD(Assumptions!L$201-Contract_Register!$T$19,12)=0),(1+Assumptions!$F$179)*IF(MOD(Assumptions!L$201-Contract_Register!$T$19,Assumptions!$C$90)=0,1+Assumptions!$F$180,1),1))</f>
        <v>1.025999537786</v>
      </c>
      <c r="M97" s="107" t="n">
        <f aca="false">IF(M$5="A",IF((Inputs_Actuals!M21*Contract_Register!$K$19+Inputs_Actuals!M54*Contract_Register!$L$19)=0,0,Inputs_Actuals!M87/(Inputs_Actuals!M21*Contract_Register!$K$19+Inputs_Actuals!M54*Contract_Register!$L$19)),L97*IF(AND(Assumptions!M$201&gt;Contract_Register!$T$19,MOD(Assumptions!M$201-Contract_Register!$T$19,12)=0),(1+Assumptions!$F$179)*IF(MOD(Assumptions!M$201-Contract_Register!$T$19,Assumptions!$C$90)=0,1+Assumptions!$F$180,1),1))</f>
        <v>1.025999537786</v>
      </c>
      <c r="N97" s="107" t="n">
        <f aca="false">IF(N$5="A",IF((Inputs_Actuals!N21*Contract_Register!$K$19+Inputs_Actuals!N54*Contract_Register!$L$19)=0,0,Inputs_Actuals!N87/(Inputs_Actuals!N21*Contract_Register!$K$19+Inputs_Actuals!N54*Contract_Register!$L$19)),M97*IF(AND(Assumptions!N$201&gt;Contract_Register!$T$19,MOD(Assumptions!N$201-Contract_Register!$T$19,12)=0),(1+Assumptions!$F$179)*IF(MOD(Assumptions!N$201-Contract_Register!$T$19,Assumptions!$C$90)=0,1+Assumptions!$F$180,1),1))</f>
        <v>1.025999537786</v>
      </c>
      <c r="O97" s="107" t="n">
        <f aca="false">IF(O$5="A",IF((Inputs_Actuals!O21*Contract_Register!$K$19+Inputs_Actuals!O54*Contract_Register!$L$19)=0,0,Inputs_Actuals!O87/(Inputs_Actuals!O21*Contract_Register!$K$19+Inputs_Actuals!O54*Contract_Register!$L$19)),N97*IF(AND(Assumptions!O$201&gt;Contract_Register!$T$19,MOD(Assumptions!O$201-Contract_Register!$T$19,12)=0),(1+Assumptions!$F$179)*IF(MOD(Assumptions!O$201-Contract_Register!$T$19,Assumptions!$C$90)=0,1+Assumptions!$F$180,1),1))</f>
        <v>1.025999537786</v>
      </c>
      <c r="P97" s="107" t="n">
        <f aca="false">IF(P$5="A",IF((Inputs_Actuals!P21*Contract_Register!$K$19+Inputs_Actuals!P54*Contract_Register!$L$19)=0,0,Inputs_Actuals!P87/(Inputs_Actuals!P21*Contract_Register!$K$19+Inputs_Actuals!P54*Contract_Register!$L$19)),O97*IF(AND(Assumptions!P$201&gt;Contract_Register!$T$19,MOD(Assumptions!P$201-Contract_Register!$T$19,12)=0),(1+Assumptions!$F$179)*IF(MOD(Assumptions!P$201-Contract_Register!$T$19,Assumptions!$C$90)=0,1+Assumptions!$F$180,1),1))</f>
        <v>1.025999537786</v>
      </c>
      <c r="Q97" s="107" t="n">
        <f aca="false">IF(Q$5="A",IF((Inputs_Actuals!Q21*Contract_Register!$K$19+Inputs_Actuals!Q54*Contract_Register!$L$19)=0,0,Inputs_Actuals!Q87/(Inputs_Actuals!Q21*Contract_Register!$K$19+Inputs_Actuals!Q54*Contract_Register!$L$19)),P97*IF(AND(Assumptions!Q$201&gt;Contract_Register!$T$19,MOD(Assumptions!Q$201-Contract_Register!$T$19,12)=0),(1+Assumptions!$F$179)*IF(MOD(Assumptions!Q$201-Contract_Register!$T$19,Assumptions!$C$90)=0,1+Assumptions!$F$180,1),1))</f>
        <v>1.025999537786</v>
      </c>
      <c r="R97" s="107" t="n">
        <f aca="false">IF(R$5="A",IF((Inputs_Actuals!R21*Contract_Register!$K$19+Inputs_Actuals!R54*Contract_Register!$L$19)=0,0,Inputs_Actuals!R87/(Inputs_Actuals!R21*Contract_Register!$K$19+Inputs_Actuals!R54*Contract_Register!$L$19)),Q97*IF(AND(Assumptions!R$201&gt;Contract_Register!$T$19,MOD(Assumptions!R$201-Contract_Register!$T$19,12)=0),(1+Assumptions!$F$179)*IF(MOD(Assumptions!R$201-Contract_Register!$T$19,Assumptions!$C$90)=0,1+Assumptions!$F$180,1),1))</f>
        <v>1.025999537786</v>
      </c>
      <c r="S97" s="107" t="n">
        <f aca="false">IF(S$5="A",IF((Inputs_Actuals!S21*Contract_Register!$K$19+Inputs_Actuals!S54*Contract_Register!$L$19)=0,0,Inputs_Actuals!S87/(Inputs_Actuals!S21*Contract_Register!$K$19+Inputs_Actuals!S54*Contract_Register!$L$19)),R97*IF(AND(Assumptions!S$201&gt;Contract_Register!$T$19,MOD(Assumptions!S$201-Contract_Register!$T$19,12)=0),(1+Assumptions!$F$179)*IF(MOD(Assumptions!S$201-Contract_Register!$T$19,Assumptions!$C$90)=0,1+Assumptions!$F$180,1),1))</f>
        <v>1.05677952391957</v>
      </c>
      <c r="T97" s="107" t="n">
        <f aca="false">IF(T$5="A",IF((Inputs_Actuals!T21*Contract_Register!$K$19+Inputs_Actuals!T54*Contract_Register!$L$19)=0,0,Inputs_Actuals!T87/(Inputs_Actuals!T21*Contract_Register!$K$19+Inputs_Actuals!T54*Contract_Register!$L$19)),S97*IF(AND(Assumptions!T$201&gt;Contract_Register!$T$19,MOD(Assumptions!T$201-Contract_Register!$T$19,12)=0),(1+Assumptions!$F$179)*IF(MOD(Assumptions!T$201-Contract_Register!$T$19,Assumptions!$C$90)=0,1+Assumptions!$F$180,1),1))</f>
        <v>1.05677952391957</v>
      </c>
      <c r="U97" s="107" t="n">
        <f aca="false">IF(U$5="A",IF((Inputs_Actuals!U21*Contract_Register!$K$19+Inputs_Actuals!U54*Contract_Register!$L$19)=0,0,Inputs_Actuals!U87/(Inputs_Actuals!U21*Contract_Register!$K$19+Inputs_Actuals!U54*Contract_Register!$L$19)),T97*IF(AND(Assumptions!U$201&gt;Contract_Register!$T$19,MOD(Assumptions!U$201-Contract_Register!$T$19,12)=0),(1+Assumptions!$F$179)*IF(MOD(Assumptions!U$201-Contract_Register!$T$19,Assumptions!$C$90)=0,1+Assumptions!$F$180,1),1))</f>
        <v>1.05677952391957</v>
      </c>
      <c r="V97" s="107" t="n">
        <f aca="false">IF(V$5="A",IF((Inputs_Actuals!V21*Contract_Register!$K$19+Inputs_Actuals!V54*Contract_Register!$L$19)=0,0,Inputs_Actuals!V87/(Inputs_Actuals!V21*Contract_Register!$K$19+Inputs_Actuals!V54*Contract_Register!$L$19)),U97*IF(AND(Assumptions!V$201&gt;Contract_Register!$T$19,MOD(Assumptions!V$201-Contract_Register!$T$19,12)=0),(1+Assumptions!$F$179)*IF(MOD(Assumptions!V$201-Contract_Register!$T$19,Assumptions!$C$90)=0,1+Assumptions!$F$180,1),1))</f>
        <v>1.05677952391957</v>
      </c>
      <c r="W97" s="107" t="n">
        <f aca="false">IF(W$5="A",IF((Inputs_Actuals!W21*Contract_Register!$K$19+Inputs_Actuals!W54*Contract_Register!$L$19)=0,0,Inputs_Actuals!W87/(Inputs_Actuals!W21*Contract_Register!$K$19+Inputs_Actuals!W54*Contract_Register!$L$19)),V97*IF(AND(Assumptions!W$201&gt;Contract_Register!$T$19,MOD(Assumptions!W$201-Contract_Register!$T$19,12)=0),(1+Assumptions!$F$179)*IF(MOD(Assumptions!W$201-Contract_Register!$T$19,Assumptions!$C$90)=0,1+Assumptions!$F$180,1),1))</f>
        <v>1.05677952391957</v>
      </c>
      <c r="X97" s="107" t="n">
        <f aca="false">IF(X$5="A",IF((Inputs_Actuals!X21*Contract_Register!$K$19+Inputs_Actuals!X54*Contract_Register!$L$19)=0,0,Inputs_Actuals!X87/(Inputs_Actuals!X21*Contract_Register!$K$19+Inputs_Actuals!X54*Contract_Register!$L$19)),W97*IF(AND(Assumptions!X$201&gt;Contract_Register!$T$19,MOD(Assumptions!X$201-Contract_Register!$T$19,12)=0),(1+Assumptions!$F$179)*IF(MOD(Assumptions!X$201-Contract_Register!$T$19,Assumptions!$C$90)=0,1+Assumptions!$F$180,1),1))</f>
        <v>1.05677952391957</v>
      </c>
      <c r="Y97" s="107" t="n">
        <f aca="false">IF(Y$5="A",IF((Inputs_Actuals!Y21*Contract_Register!$K$19+Inputs_Actuals!Y54*Contract_Register!$L$19)=0,0,Inputs_Actuals!Y87/(Inputs_Actuals!Y21*Contract_Register!$K$19+Inputs_Actuals!Y54*Contract_Register!$L$19)),X97*IF(AND(Assumptions!Y$201&gt;Contract_Register!$T$19,MOD(Assumptions!Y$201-Contract_Register!$T$19,12)=0),(1+Assumptions!$F$179)*IF(MOD(Assumptions!Y$201-Contract_Register!$T$19,Assumptions!$C$90)=0,1+Assumptions!$F$180,1),1))</f>
        <v>1.05677952391957</v>
      </c>
      <c r="Z97" s="107" t="n">
        <f aca="false">IF(Z$5="A",IF((Inputs_Actuals!Z21*Contract_Register!$K$19+Inputs_Actuals!Z54*Contract_Register!$L$19)=0,0,Inputs_Actuals!Z87/(Inputs_Actuals!Z21*Contract_Register!$K$19+Inputs_Actuals!Z54*Contract_Register!$L$19)),Y97*IF(AND(Assumptions!Z$201&gt;Contract_Register!$T$19,MOD(Assumptions!Z$201-Contract_Register!$T$19,12)=0),(1+Assumptions!$F$179)*IF(MOD(Assumptions!Z$201-Contract_Register!$T$19,Assumptions!$C$90)=0,1+Assumptions!$F$180,1),1))</f>
        <v>1.05677952391957</v>
      </c>
      <c r="AA97" s="107" t="n">
        <f aca="false">IF(AA$5="A",IF((Inputs_Actuals!AA21*Contract_Register!$K$19+Inputs_Actuals!AA54*Contract_Register!$L$19)=0,0,Inputs_Actuals!AA87/(Inputs_Actuals!AA21*Contract_Register!$K$19+Inputs_Actuals!AA54*Contract_Register!$L$19)),Z97*IF(AND(Assumptions!AA$201&gt;Contract_Register!$T$19,MOD(Assumptions!AA$201-Contract_Register!$T$19,12)=0),(1+Assumptions!$F$179)*IF(MOD(Assumptions!AA$201-Contract_Register!$T$19,Assumptions!$C$90)=0,1+Assumptions!$F$180,1),1))</f>
        <v>1.05677952391957</v>
      </c>
      <c r="AB97" s="107" t="n">
        <f aca="false">IF(AB$5="A",IF((Inputs_Actuals!AB21*Contract_Register!$K$19+Inputs_Actuals!AB54*Contract_Register!$L$19)=0,0,Inputs_Actuals!AB87/(Inputs_Actuals!AB21*Contract_Register!$K$19+Inputs_Actuals!AB54*Contract_Register!$L$19)),AA97*IF(AND(Assumptions!AB$201&gt;Contract_Register!$T$19,MOD(Assumptions!AB$201-Contract_Register!$T$19,12)=0),(1+Assumptions!$F$179)*IF(MOD(Assumptions!AB$201-Contract_Register!$T$19,Assumptions!$C$90)=0,1+Assumptions!$F$180,1),1))</f>
        <v>1.05677952391957</v>
      </c>
    </row>
    <row r="98" customFormat="false" ht="15" hidden="false" customHeight="false" outlineLevel="0" collapsed="false">
      <c r="A98" s="27" t="s">
        <v>826</v>
      </c>
      <c r="B98" s="63" t="s">
        <v>851</v>
      </c>
      <c r="C98" s="121" t="n">
        <f aca="false">P98</f>
        <v>1.02599961627015</v>
      </c>
      <c r="D98" s="121" t="n">
        <f aca="false">AB98</f>
        <v>1.05677960475825</v>
      </c>
      <c r="E98" s="107" t="n">
        <f aca="false">IF(E$5="A",IF((Inputs_Actuals!E22*Contract_Register!$K$20+Inputs_Actuals!E55*Contract_Register!$L$20)=0,0,Inputs_Actuals!E88/(Inputs_Actuals!E22*Contract_Register!$K$20+Inputs_Actuals!E55*Contract_Register!$L$20)),1*IF(AND(Assumptions!E$201&gt;Contract_Register!$T$20,MOD(Assumptions!E$201-Contract_Register!$T$20,12)=0),(1+Assumptions!$F$179)*IF(MOD(Assumptions!E$201-Contract_Register!$T$20,Assumptions!$C$90)=0,1+Assumptions!$F$180,1),1))</f>
        <v>1</v>
      </c>
      <c r="F98" s="107" t="n">
        <f aca="false">IF(F$5="A",IF((Inputs_Actuals!F22*Contract_Register!$K$20+Inputs_Actuals!F55*Contract_Register!$L$20)=0,0,Inputs_Actuals!F88/(Inputs_Actuals!F22*Contract_Register!$K$20+Inputs_Actuals!F55*Contract_Register!$L$20)),E98*IF(AND(Assumptions!F$201&gt;Contract_Register!$T$20,MOD(Assumptions!F$201-Contract_Register!$T$20,12)=0),(1+Assumptions!$F$179)*IF(MOD(Assumptions!F$201-Contract_Register!$T$20,Assumptions!$C$90)=0,1+Assumptions!$F$180,1),1))</f>
        <v>1</v>
      </c>
      <c r="G98" s="107" t="n">
        <f aca="false">IF(G$5="A",IF((Inputs_Actuals!G22*Contract_Register!$K$20+Inputs_Actuals!G55*Contract_Register!$L$20)=0,0,Inputs_Actuals!G88/(Inputs_Actuals!G22*Contract_Register!$K$20+Inputs_Actuals!G55*Contract_Register!$L$20)),F98*IF(AND(Assumptions!G$201&gt;Contract_Register!$T$20,MOD(Assumptions!G$201-Contract_Register!$T$20,12)=0),(1+Assumptions!$F$179)*IF(MOD(Assumptions!G$201-Contract_Register!$T$20,Assumptions!$C$90)=0,1+Assumptions!$F$180,1),1))</f>
        <v>1</v>
      </c>
      <c r="H98" s="107" t="n">
        <f aca="false">IF(H$5="A",IF((Inputs_Actuals!H22*Contract_Register!$K$20+Inputs_Actuals!H55*Contract_Register!$L$20)=0,0,Inputs_Actuals!H88/(Inputs_Actuals!H22*Contract_Register!$K$20+Inputs_Actuals!H55*Contract_Register!$L$20)),G98*IF(AND(Assumptions!H$201&gt;Contract_Register!$T$20,MOD(Assumptions!H$201-Contract_Register!$T$20,12)=0),(1+Assumptions!$F$179)*IF(MOD(Assumptions!H$201-Contract_Register!$T$20,Assumptions!$C$90)=0,1+Assumptions!$F$180,1),1))</f>
        <v>1</v>
      </c>
      <c r="I98" s="107" t="n">
        <f aca="false">IF(I$5="A",IF((Inputs_Actuals!I22*Contract_Register!$K$20+Inputs_Actuals!I55*Contract_Register!$L$20)=0,0,Inputs_Actuals!I88/(Inputs_Actuals!I22*Contract_Register!$K$20+Inputs_Actuals!I55*Contract_Register!$L$20)),H98*IF(AND(Assumptions!I$201&gt;Contract_Register!$T$20,MOD(Assumptions!I$201-Contract_Register!$T$20,12)=0),(1+Assumptions!$F$179)*IF(MOD(Assumptions!I$201-Contract_Register!$T$20,Assumptions!$C$90)=0,1+Assumptions!$F$180,1),1))</f>
        <v>1.02599961627015</v>
      </c>
      <c r="J98" s="107" t="n">
        <f aca="false">IF(J$5="A",IF((Inputs_Actuals!J22*Contract_Register!$K$20+Inputs_Actuals!J55*Contract_Register!$L$20)=0,0,Inputs_Actuals!J88/(Inputs_Actuals!J22*Contract_Register!$K$20+Inputs_Actuals!J55*Contract_Register!$L$20)),I98*IF(AND(Assumptions!J$201&gt;Contract_Register!$T$20,MOD(Assumptions!J$201-Contract_Register!$T$20,12)=0),(1+Assumptions!$F$179)*IF(MOD(Assumptions!J$201-Contract_Register!$T$20,Assumptions!$C$90)=0,1+Assumptions!$F$180,1),1))</f>
        <v>1.02599961627015</v>
      </c>
      <c r="K98" s="107" t="n">
        <f aca="false">IF(K$5="A",IF((Inputs_Actuals!K22*Contract_Register!$K$20+Inputs_Actuals!K55*Contract_Register!$L$20)=0,0,Inputs_Actuals!K88/(Inputs_Actuals!K22*Contract_Register!$K$20+Inputs_Actuals!K55*Contract_Register!$L$20)),J98*IF(AND(Assumptions!K$201&gt;Contract_Register!$T$20,MOD(Assumptions!K$201-Contract_Register!$T$20,12)=0),(1+Assumptions!$F$179)*IF(MOD(Assumptions!K$201-Contract_Register!$T$20,Assumptions!$C$90)=0,1+Assumptions!$F$180,1),1))</f>
        <v>1.02599961627015</v>
      </c>
      <c r="L98" s="107" t="n">
        <f aca="false">IF(L$5="A",IF((Inputs_Actuals!L22*Contract_Register!$K$20+Inputs_Actuals!L55*Contract_Register!$L$20)=0,0,Inputs_Actuals!L88/(Inputs_Actuals!L22*Contract_Register!$K$20+Inputs_Actuals!L55*Contract_Register!$L$20)),K98*IF(AND(Assumptions!L$201&gt;Contract_Register!$T$20,MOD(Assumptions!L$201-Contract_Register!$T$20,12)=0),(1+Assumptions!$F$179)*IF(MOD(Assumptions!L$201-Contract_Register!$T$20,Assumptions!$C$90)=0,1+Assumptions!$F$180,1),1))</f>
        <v>1.02599961627015</v>
      </c>
      <c r="M98" s="107" t="n">
        <f aca="false">IF(M$5="A",IF((Inputs_Actuals!M22*Contract_Register!$K$20+Inputs_Actuals!M55*Contract_Register!$L$20)=0,0,Inputs_Actuals!M88/(Inputs_Actuals!M22*Contract_Register!$K$20+Inputs_Actuals!M55*Contract_Register!$L$20)),L98*IF(AND(Assumptions!M$201&gt;Contract_Register!$T$20,MOD(Assumptions!M$201-Contract_Register!$T$20,12)=0),(1+Assumptions!$F$179)*IF(MOD(Assumptions!M$201-Contract_Register!$T$20,Assumptions!$C$90)=0,1+Assumptions!$F$180,1),1))</f>
        <v>1.02599961627015</v>
      </c>
      <c r="N98" s="107" t="n">
        <f aca="false">IF(N$5="A",IF((Inputs_Actuals!N22*Contract_Register!$K$20+Inputs_Actuals!N55*Contract_Register!$L$20)=0,0,Inputs_Actuals!N88/(Inputs_Actuals!N22*Contract_Register!$K$20+Inputs_Actuals!N55*Contract_Register!$L$20)),M98*IF(AND(Assumptions!N$201&gt;Contract_Register!$T$20,MOD(Assumptions!N$201-Contract_Register!$T$20,12)=0),(1+Assumptions!$F$179)*IF(MOD(Assumptions!N$201-Contract_Register!$T$20,Assumptions!$C$90)=0,1+Assumptions!$F$180,1),1))</f>
        <v>1.02599961627015</v>
      </c>
      <c r="O98" s="107" t="n">
        <f aca="false">IF(O$5="A",IF((Inputs_Actuals!O22*Contract_Register!$K$20+Inputs_Actuals!O55*Contract_Register!$L$20)=0,0,Inputs_Actuals!O88/(Inputs_Actuals!O22*Contract_Register!$K$20+Inputs_Actuals!O55*Contract_Register!$L$20)),N98*IF(AND(Assumptions!O$201&gt;Contract_Register!$T$20,MOD(Assumptions!O$201-Contract_Register!$T$20,12)=0),(1+Assumptions!$F$179)*IF(MOD(Assumptions!O$201-Contract_Register!$T$20,Assumptions!$C$90)=0,1+Assumptions!$F$180,1),1))</f>
        <v>1.02599961627015</v>
      </c>
      <c r="P98" s="107" t="n">
        <f aca="false">IF(P$5="A",IF((Inputs_Actuals!P22*Contract_Register!$K$20+Inputs_Actuals!P55*Contract_Register!$L$20)=0,0,Inputs_Actuals!P88/(Inputs_Actuals!P22*Contract_Register!$K$20+Inputs_Actuals!P55*Contract_Register!$L$20)),O98*IF(AND(Assumptions!P$201&gt;Contract_Register!$T$20,MOD(Assumptions!P$201-Contract_Register!$T$20,12)=0),(1+Assumptions!$F$179)*IF(MOD(Assumptions!P$201-Contract_Register!$T$20,Assumptions!$C$90)=0,1+Assumptions!$F$180,1),1))</f>
        <v>1.02599961627015</v>
      </c>
      <c r="Q98" s="107" t="n">
        <f aca="false">IF(Q$5="A",IF((Inputs_Actuals!Q22*Contract_Register!$K$20+Inputs_Actuals!Q55*Contract_Register!$L$20)=0,0,Inputs_Actuals!Q88/(Inputs_Actuals!Q22*Contract_Register!$K$20+Inputs_Actuals!Q55*Contract_Register!$L$20)),P98*IF(AND(Assumptions!Q$201&gt;Contract_Register!$T$20,MOD(Assumptions!Q$201-Contract_Register!$T$20,12)=0),(1+Assumptions!$F$179)*IF(MOD(Assumptions!Q$201-Contract_Register!$T$20,Assumptions!$C$90)=0,1+Assumptions!$F$180,1),1))</f>
        <v>1.02599961627015</v>
      </c>
      <c r="R98" s="107" t="n">
        <f aca="false">IF(R$5="A",IF((Inputs_Actuals!R22*Contract_Register!$K$20+Inputs_Actuals!R55*Contract_Register!$L$20)=0,0,Inputs_Actuals!R88/(Inputs_Actuals!R22*Contract_Register!$K$20+Inputs_Actuals!R55*Contract_Register!$L$20)),Q98*IF(AND(Assumptions!R$201&gt;Contract_Register!$T$20,MOD(Assumptions!R$201-Contract_Register!$T$20,12)=0),(1+Assumptions!$F$179)*IF(MOD(Assumptions!R$201-Contract_Register!$T$20,Assumptions!$C$90)=0,1+Assumptions!$F$180,1),1))</f>
        <v>1.02599961627015</v>
      </c>
      <c r="S98" s="107" t="n">
        <f aca="false">IF(S$5="A",IF((Inputs_Actuals!S22*Contract_Register!$K$20+Inputs_Actuals!S55*Contract_Register!$L$20)=0,0,Inputs_Actuals!S88/(Inputs_Actuals!S22*Contract_Register!$K$20+Inputs_Actuals!S55*Contract_Register!$L$20)),R98*IF(AND(Assumptions!S$201&gt;Contract_Register!$T$20,MOD(Assumptions!S$201-Contract_Register!$T$20,12)=0),(1+Assumptions!$F$179)*IF(MOD(Assumptions!S$201-Contract_Register!$T$20,Assumptions!$C$90)=0,1+Assumptions!$F$180,1),1))</f>
        <v>1.02599961627015</v>
      </c>
      <c r="T98" s="107" t="n">
        <f aca="false">IF(T$5="A",IF((Inputs_Actuals!T22*Contract_Register!$K$20+Inputs_Actuals!T55*Contract_Register!$L$20)=0,0,Inputs_Actuals!T88/(Inputs_Actuals!T22*Contract_Register!$K$20+Inputs_Actuals!T55*Contract_Register!$L$20)),S98*IF(AND(Assumptions!T$201&gt;Contract_Register!$T$20,MOD(Assumptions!T$201-Contract_Register!$T$20,12)=0),(1+Assumptions!$F$179)*IF(MOD(Assumptions!T$201-Contract_Register!$T$20,Assumptions!$C$90)=0,1+Assumptions!$F$180,1),1))</f>
        <v>1.02599961627015</v>
      </c>
      <c r="U98" s="107" t="n">
        <f aca="false">IF(U$5="A",IF((Inputs_Actuals!U22*Contract_Register!$K$20+Inputs_Actuals!U55*Contract_Register!$L$20)=0,0,Inputs_Actuals!U88/(Inputs_Actuals!U22*Contract_Register!$K$20+Inputs_Actuals!U55*Contract_Register!$L$20)),T98*IF(AND(Assumptions!U$201&gt;Contract_Register!$T$20,MOD(Assumptions!U$201-Contract_Register!$T$20,12)=0),(1+Assumptions!$F$179)*IF(MOD(Assumptions!U$201-Contract_Register!$T$20,Assumptions!$C$90)=0,1+Assumptions!$F$180,1),1))</f>
        <v>1.05677960475825</v>
      </c>
      <c r="V98" s="107" t="n">
        <f aca="false">IF(V$5="A",IF((Inputs_Actuals!V22*Contract_Register!$K$20+Inputs_Actuals!V55*Contract_Register!$L$20)=0,0,Inputs_Actuals!V88/(Inputs_Actuals!V22*Contract_Register!$K$20+Inputs_Actuals!V55*Contract_Register!$L$20)),U98*IF(AND(Assumptions!V$201&gt;Contract_Register!$T$20,MOD(Assumptions!V$201-Contract_Register!$T$20,12)=0),(1+Assumptions!$F$179)*IF(MOD(Assumptions!V$201-Contract_Register!$T$20,Assumptions!$C$90)=0,1+Assumptions!$F$180,1),1))</f>
        <v>1.05677960475825</v>
      </c>
      <c r="W98" s="107" t="n">
        <f aca="false">IF(W$5="A",IF((Inputs_Actuals!W22*Contract_Register!$K$20+Inputs_Actuals!W55*Contract_Register!$L$20)=0,0,Inputs_Actuals!W88/(Inputs_Actuals!W22*Contract_Register!$K$20+Inputs_Actuals!W55*Contract_Register!$L$20)),V98*IF(AND(Assumptions!W$201&gt;Contract_Register!$T$20,MOD(Assumptions!W$201-Contract_Register!$T$20,12)=0),(1+Assumptions!$F$179)*IF(MOD(Assumptions!W$201-Contract_Register!$T$20,Assumptions!$C$90)=0,1+Assumptions!$F$180,1),1))</f>
        <v>1.05677960475825</v>
      </c>
      <c r="X98" s="107" t="n">
        <f aca="false">IF(X$5="A",IF((Inputs_Actuals!X22*Contract_Register!$K$20+Inputs_Actuals!X55*Contract_Register!$L$20)=0,0,Inputs_Actuals!X88/(Inputs_Actuals!X22*Contract_Register!$K$20+Inputs_Actuals!X55*Contract_Register!$L$20)),W98*IF(AND(Assumptions!X$201&gt;Contract_Register!$T$20,MOD(Assumptions!X$201-Contract_Register!$T$20,12)=0),(1+Assumptions!$F$179)*IF(MOD(Assumptions!X$201-Contract_Register!$T$20,Assumptions!$C$90)=0,1+Assumptions!$F$180,1),1))</f>
        <v>1.05677960475825</v>
      </c>
      <c r="Y98" s="107" t="n">
        <f aca="false">IF(Y$5="A",IF((Inputs_Actuals!Y22*Contract_Register!$K$20+Inputs_Actuals!Y55*Contract_Register!$L$20)=0,0,Inputs_Actuals!Y88/(Inputs_Actuals!Y22*Contract_Register!$K$20+Inputs_Actuals!Y55*Contract_Register!$L$20)),X98*IF(AND(Assumptions!Y$201&gt;Contract_Register!$T$20,MOD(Assumptions!Y$201-Contract_Register!$T$20,12)=0),(1+Assumptions!$F$179)*IF(MOD(Assumptions!Y$201-Contract_Register!$T$20,Assumptions!$C$90)=0,1+Assumptions!$F$180,1),1))</f>
        <v>1.05677960475825</v>
      </c>
      <c r="Z98" s="107" t="n">
        <f aca="false">IF(Z$5="A",IF((Inputs_Actuals!Z22*Contract_Register!$K$20+Inputs_Actuals!Z55*Contract_Register!$L$20)=0,0,Inputs_Actuals!Z88/(Inputs_Actuals!Z22*Contract_Register!$K$20+Inputs_Actuals!Z55*Contract_Register!$L$20)),Y98*IF(AND(Assumptions!Z$201&gt;Contract_Register!$T$20,MOD(Assumptions!Z$201-Contract_Register!$T$20,12)=0),(1+Assumptions!$F$179)*IF(MOD(Assumptions!Z$201-Contract_Register!$T$20,Assumptions!$C$90)=0,1+Assumptions!$F$180,1),1))</f>
        <v>1.05677960475825</v>
      </c>
      <c r="AA98" s="107" t="n">
        <f aca="false">IF(AA$5="A",IF((Inputs_Actuals!AA22*Contract_Register!$K$20+Inputs_Actuals!AA55*Contract_Register!$L$20)=0,0,Inputs_Actuals!AA88/(Inputs_Actuals!AA22*Contract_Register!$K$20+Inputs_Actuals!AA55*Contract_Register!$L$20)),Z98*IF(AND(Assumptions!AA$201&gt;Contract_Register!$T$20,MOD(Assumptions!AA$201-Contract_Register!$T$20,12)=0),(1+Assumptions!$F$179)*IF(MOD(Assumptions!AA$201-Contract_Register!$T$20,Assumptions!$C$90)=0,1+Assumptions!$F$180,1),1))</f>
        <v>1.05677960475825</v>
      </c>
      <c r="AB98" s="107" t="n">
        <f aca="false">IF(AB$5="A",IF((Inputs_Actuals!AB22*Contract_Register!$K$20+Inputs_Actuals!AB55*Contract_Register!$L$20)=0,0,Inputs_Actuals!AB88/(Inputs_Actuals!AB22*Contract_Register!$K$20+Inputs_Actuals!AB55*Contract_Register!$L$20)),AA98*IF(AND(Assumptions!AB$201&gt;Contract_Register!$T$20,MOD(Assumptions!AB$201-Contract_Register!$T$20,12)=0),(1+Assumptions!$F$179)*IF(MOD(Assumptions!AB$201-Contract_Register!$T$20,Assumptions!$C$90)=0,1+Assumptions!$F$180,1),1))</f>
        <v>1.05677960475825</v>
      </c>
    </row>
    <row r="99" customFormat="false" ht="15" hidden="false" customHeight="false" outlineLevel="0" collapsed="false">
      <c r="A99" s="27" t="s">
        <v>827</v>
      </c>
      <c r="B99" s="63" t="s">
        <v>851</v>
      </c>
      <c r="C99" s="121" t="n">
        <f aca="false">P99</f>
        <v>1.02599961700498</v>
      </c>
      <c r="D99" s="121" t="n">
        <f aca="false">AB99</f>
        <v>1.05677960551513</v>
      </c>
      <c r="E99" s="107" t="n">
        <f aca="false">IF(E$5="A",IF((Inputs_Actuals!E23*Contract_Register!$K$21+Inputs_Actuals!E56*Contract_Register!$L$21)=0,0,Inputs_Actuals!E89/(Inputs_Actuals!E23*Contract_Register!$K$21+Inputs_Actuals!E56*Contract_Register!$L$21)),1*IF(AND(Assumptions!E$201&gt;Contract_Register!$T$21,MOD(Assumptions!E$201-Contract_Register!$T$21,12)=0),(1+Assumptions!$F$179)*IF(MOD(Assumptions!E$201-Contract_Register!$T$21,Assumptions!$C$90)=0,1+Assumptions!$F$180,1),1))</f>
        <v>1</v>
      </c>
      <c r="F99" s="107" t="n">
        <f aca="false">IF(F$5="A",IF((Inputs_Actuals!F23*Contract_Register!$K$21+Inputs_Actuals!F56*Contract_Register!$L$21)=0,0,Inputs_Actuals!F89/(Inputs_Actuals!F23*Contract_Register!$K$21+Inputs_Actuals!F56*Contract_Register!$L$21)),E99*IF(AND(Assumptions!F$201&gt;Contract_Register!$T$21,MOD(Assumptions!F$201-Contract_Register!$T$21,12)=0),(1+Assumptions!$F$179)*IF(MOD(Assumptions!F$201-Contract_Register!$T$21,Assumptions!$C$90)=0,1+Assumptions!$F$180,1),1))</f>
        <v>1</v>
      </c>
      <c r="G99" s="107" t="n">
        <f aca="false">IF(G$5="A",IF((Inputs_Actuals!G23*Contract_Register!$K$21+Inputs_Actuals!G56*Contract_Register!$L$21)=0,0,Inputs_Actuals!G89/(Inputs_Actuals!G23*Contract_Register!$K$21+Inputs_Actuals!G56*Contract_Register!$L$21)),F99*IF(AND(Assumptions!G$201&gt;Contract_Register!$T$21,MOD(Assumptions!G$201-Contract_Register!$T$21,12)=0),(1+Assumptions!$F$179)*IF(MOD(Assumptions!G$201-Contract_Register!$T$21,Assumptions!$C$90)=0,1+Assumptions!$F$180,1),1))</f>
        <v>1</v>
      </c>
      <c r="H99" s="107" t="n">
        <f aca="false">IF(H$5="A",IF((Inputs_Actuals!H23*Contract_Register!$K$21+Inputs_Actuals!H56*Contract_Register!$L$21)=0,0,Inputs_Actuals!H89/(Inputs_Actuals!H23*Contract_Register!$K$21+Inputs_Actuals!H56*Contract_Register!$L$21)),G99*IF(AND(Assumptions!H$201&gt;Contract_Register!$T$21,MOD(Assumptions!H$201-Contract_Register!$T$21,12)=0),(1+Assumptions!$F$179)*IF(MOD(Assumptions!H$201-Contract_Register!$T$21,Assumptions!$C$90)=0,1+Assumptions!$F$180,1),1))</f>
        <v>1</v>
      </c>
      <c r="I99" s="107" t="n">
        <f aca="false">IF(I$5="A",IF((Inputs_Actuals!I23*Contract_Register!$K$21+Inputs_Actuals!I56*Contract_Register!$L$21)=0,0,Inputs_Actuals!I89/(Inputs_Actuals!I23*Contract_Register!$K$21+Inputs_Actuals!I56*Contract_Register!$L$21)),H99*IF(AND(Assumptions!I$201&gt;Contract_Register!$T$21,MOD(Assumptions!I$201-Contract_Register!$T$21,12)=0),(1+Assumptions!$F$179)*IF(MOD(Assumptions!I$201-Contract_Register!$T$21,Assumptions!$C$90)=0,1+Assumptions!$F$180,1),1))</f>
        <v>1.02600038662285</v>
      </c>
      <c r="J99" s="107" t="n">
        <f aca="false">IF(J$5="A",IF((Inputs_Actuals!J23*Contract_Register!$K$21+Inputs_Actuals!J56*Contract_Register!$L$21)=0,0,Inputs_Actuals!J89/(Inputs_Actuals!J23*Contract_Register!$K$21+Inputs_Actuals!J56*Contract_Register!$L$21)),I99*IF(AND(Assumptions!J$201&gt;Contract_Register!$T$21,MOD(Assumptions!J$201-Contract_Register!$T$21,12)=0),(1+Assumptions!$F$179)*IF(MOD(Assumptions!J$201-Contract_Register!$T$21,Assumptions!$C$90)=0,1+Assumptions!$F$180,1),1))</f>
        <v>1.02600038662285</v>
      </c>
      <c r="K99" s="107" t="n">
        <f aca="false">IF(K$5="A",IF((Inputs_Actuals!K23*Contract_Register!$K$21+Inputs_Actuals!K56*Contract_Register!$L$21)=0,0,Inputs_Actuals!K89/(Inputs_Actuals!K23*Contract_Register!$K$21+Inputs_Actuals!K56*Contract_Register!$L$21)),J99*IF(AND(Assumptions!K$201&gt;Contract_Register!$T$21,MOD(Assumptions!K$201-Contract_Register!$T$21,12)=0),(1+Assumptions!$F$179)*IF(MOD(Assumptions!K$201-Contract_Register!$T$21,Assumptions!$C$90)=0,1+Assumptions!$F$180,1),1))</f>
        <v>1.02600038662285</v>
      </c>
      <c r="L99" s="107" t="n">
        <f aca="false">IF(L$5="A",IF((Inputs_Actuals!L23*Contract_Register!$K$21+Inputs_Actuals!L56*Contract_Register!$L$21)=0,0,Inputs_Actuals!L89/(Inputs_Actuals!L23*Contract_Register!$K$21+Inputs_Actuals!L56*Contract_Register!$L$21)),K99*IF(AND(Assumptions!L$201&gt;Contract_Register!$T$21,MOD(Assumptions!L$201-Contract_Register!$T$21,12)=0),(1+Assumptions!$F$179)*IF(MOD(Assumptions!L$201-Contract_Register!$T$21,Assumptions!$C$90)=0,1+Assumptions!$F$180,1),1))</f>
        <v>1.02599961700498</v>
      </c>
      <c r="M99" s="107" t="n">
        <f aca="false">IF(M$5="A",IF((Inputs_Actuals!M23*Contract_Register!$K$21+Inputs_Actuals!M56*Contract_Register!$L$21)=0,0,Inputs_Actuals!M89/(Inputs_Actuals!M23*Contract_Register!$K$21+Inputs_Actuals!M56*Contract_Register!$L$21)),L99*IF(AND(Assumptions!M$201&gt;Contract_Register!$T$21,MOD(Assumptions!M$201-Contract_Register!$T$21,12)=0),(1+Assumptions!$F$179)*IF(MOD(Assumptions!M$201-Contract_Register!$T$21,Assumptions!$C$90)=0,1+Assumptions!$F$180,1),1))</f>
        <v>1.02599961700498</v>
      </c>
      <c r="N99" s="107" t="n">
        <f aca="false">IF(N$5="A",IF((Inputs_Actuals!N23*Contract_Register!$K$21+Inputs_Actuals!N56*Contract_Register!$L$21)=0,0,Inputs_Actuals!N89/(Inputs_Actuals!N23*Contract_Register!$K$21+Inputs_Actuals!N56*Contract_Register!$L$21)),M99*IF(AND(Assumptions!N$201&gt;Contract_Register!$T$21,MOD(Assumptions!N$201-Contract_Register!$T$21,12)=0),(1+Assumptions!$F$179)*IF(MOD(Assumptions!N$201-Contract_Register!$T$21,Assumptions!$C$90)=0,1+Assumptions!$F$180,1),1))</f>
        <v>1.02599961700498</v>
      </c>
      <c r="O99" s="107" t="n">
        <f aca="false">IF(O$5="A",IF((Inputs_Actuals!O23*Contract_Register!$K$21+Inputs_Actuals!O56*Contract_Register!$L$21)=0,0,Inputs_Actuals!O89/(Inputs_Actuals!O23*Contract_Register!$K$21+Inputs_Actuals!O56*Contract_Register!$L$21)),N99*IF(AND(Assumptions!O$201&gt;Contract_Register!$T$21,MOD(Assumptions!O$201-Contract_Register!$T$21,12)=0),(1+Assumptions!$F$179)*IF(MOD(Assumptions!O$201-Contract_Register!$T$21,Assumptions!$C$90)=0,1+Assumptions!$F$180,1),1))</f>
        <v>1.02599961700498</v>
      </c>
      <c r="P99" s="107" t="n">
        <f aca="false">IF(P$5="A",IF((Inputs_Actuals!P23*Contract_Register!$K$21+Inputs_Actuals!P56*Contract_Register!$L$21)=0,0,Inputs_Actuals!P89/(Inputs_Actuals!P23*Contract_Register!$K$21+Inputs_Actuals!P56*Contract_Register!$L$21)),O99*IF(AND(Assumptions!P$201&gt;Contract_Register!$T$21,MOD(Assumptions!P$201-Contract_Register!$T$21,12)=0),(1+Assumptions!$F$179)*IF(MOD(Assumptions!P$201-Contract_Register!$T$21,Assumptions!$C$90)=0,1+Assumptions!$F$180,1),1))</f>
        <v>1.02599961700498</v>
      </c>
      <c r="Q99" s="107" t="n">
        <f aca="false">IF(Q$5="A",IF((Inputs_Actuals!Q23*Contract_Register!$K$21+Inputs_Actuals!Q56*Contract_Register!$L$21)=0,0,Inputs_Actuals!Q89/(Inputs_Actuals!Q23*Contract_Register!$K$21+Inputs_Actuals!Q56*Contract_Register!$L$21)),P99*IF(AND(Assumptions!Q$201&gt;Contract_Register!$T$21,MOD(Assumptions!Q$201-Contract_Register!$T$21,12)=0),(1+Assumptions!$F$179)*IF(MOD(Assumptions!Q$201-Contract_Register!$T$21,Assumptions!$C$90)=0,1+Assumptions!$F$180,1),1))</f>
        <v>1.02599961700498</v>
      </c>
      <c r="R99" s="107" t="n">
        <f aca="false">IF(R$5="A",IF((Inputs_Actuals!R23*Contract_Register!$K$21+Inputs_Actuals!R56*Contract_Register!$L$21)=0,0,Inputs_Actuals!R89/(Inputs_Actuals!R23*Contract_Register!$K$21+Inputs_Actuals!R56*Contract_Register!$L$21)),Q99*IF(AND(Assumptions!R$201&gt;Contract_Register!$T$21,MOD(Assumptions!R$201-Contract_Register!$T$21,12)=0),(1+Assumptions!$F$179)*IF(MOD(Assumptions!R$201-Contract_Register!$T$21,Assumptions!$C$90)=0,1+Assumptions!$F$180,1),1))</f>
        <v>1.02599961700498</v>
      </c>
      <c r="S99" s="107" t="n">
        <f aca="false">IF(S$5="A",IF((Inputs_Actuals!S23*Contract_Register!$K$21+Inputs_Actuals!S56*Contract_Register!$L$21)=0,0,Inputs_Actuals!S89/(Inputs_Actuals!S23*Contract_Register!$K$21+Inputs_Actuals!S56*Contract_Register!$L$21)),R99*IF(AND(Assumptions!S$201&gt;Contract_Register!$T$21,MOD(Assumptions!S$201-Contract_Register!$T$21,12)=0),(1+Assumptions!$F$179)*IF(MOD(Assumptions!S$201-Contract_Register!$T$21,Assumptions!$C$90)=0,1+Assumptions!$F$180,1),1))</f>
        <v>1.02599961700498</v>
      </c>
      <c r="T99" s="107" t="n">
        <f aca="false">IF(T$5="A",IF((Inputs_Actuals!T23*Contract_Register!$K$21+Inputs_Actuals!T56*Contract_Register!$L$21)=0,0,Inputs_Actuals!T89/(Inputs_Actuals!T23*Contract_Register!$K$21+Inputs_Actuals!T56*Contract_Register!$L$21)),S99*IF(AND(Assumptions!T$201&gt;Contract_Register!$T$21,MOD(Assumptions!T$201-Contract_Register!$T$21,12)=0),(1+Assumptions!$F$179)*IF(MOD(Assumptions!T$201-Contract_Register!$T$21,Assumptions!$C$90)=0,1+Assumptions!$F$180,1),1))</f>
        <v>1.02599961700498</v>
      </c>
      <c r="U99" s="107" t="n">
        <f aca="false">IF(U$5="A",IF((Inputs_Actuals!U23*Contract_Register!$K$21+Inputs_Actuals!U56*Contract_Register!$L$21)=0,0,Inputs_Actuals!U89/(Inputs_Actuals!U23*Contract_Register!$K$21+Inputs_Actuals!U56*Contract_Register!$L$21)),T99*IF(AND(Assumptions!U$201&gt;Contract_Register!$T$21,MOD(Assumptions!U$201-Contract_Register!$T$21,12)=0),(1+Assumptions!$F$179)*IF(MOD(Assumptions!U$201-Contract_Register!$T$21,Assumptions!$C$90)=0,1+Assumptions!$F$180,1),1))</f>
        <v>1.05677960551513</v>
      </c>
      <c r="V99" s="107" t="n">
        <f aca="false">IF(V$5="A",IF((Inputs_Actuals!V23*Contract_Register!$K$21+Inputs_Actuals!V56*Contract_Register!$L$21)=0,0,Inputs_Actuals!V89/(Inputs_Actuals!V23*Contract_Register!$K$21+Inputs_Actuals!V56*Contract_Register!$L$21)),U99*IF(AND(Assumptions!V$201&gt;Contract_Register!$T$21,MOD(Assumptions!V$201-Contract_Register!$T$21,12)=0),(1+Assumptions!$F$179)*IF(MOD(Assumptions!V$201-Contract_Register!$T$21,Assumptions!$C$90)=0,1+Assumptions!$F$180,1),1))</f>
        <v>1.05677960551513</v>
      </c>
      <c r="W99" s="107" t="n">
        <f aca="false">IF(W$5="A",IF((Inputs_Actuals!W23*Contract_Register!$K$21+Inputs_Actuals!W56*Contract_Register!$L$21)=0,0,Inputs_Actuals!W89/(Inputs_Actuals!W23*Contract_Register!$K$21+Inputs_Actuals!W56*Contract_Register!$L$21)),V99*IF(AND(Assumptions!W$201&gt;Contract_Register!$T$21,MOD(Assumptions!W$201-Contract_Register!$T$21,12)=0),(1+Assumptions!$F$179)*IF(MOD(Assumptions!W$201-Contract_Register!$T$21,Assumptions!$C$90)=0,1+Assumptions!$F$180,1),1))</f>
        <v>1.05677960551513</v>
      </c>
      <c r="X99" s="107" t="n">
        <f aca="false">IF(X$5="A",IF((Inputs_Actuals!X23*Contract_Register!$K$21+Inputs_Actuals!X56*Contract_Register!$L$21)=0,0,Inputs_Actuals!X89/(Inputs_Actuals!X23*Contract_Register!$K$21+Inputs_Actuals!X56*Contract_Register!$L$21)),W99*IF(AND(Assumptions!X$201&gt;Contract_Register!$T$21,MOD(Assumptions!X$201-Contract_Register!$T$21,12)=0),(1+Assumptions!$F$179)*IF(MOD(Assumptions!X$201-Contract_Register!$T$21,Assumptions!$C$90)=0,1+Assumptions!$F$180,1),1))</f>
        <v>1.05677960551513</v>
      </c>
      <c r="Y99" s="107" t="n">
        <f aca="false">IF(Y$5="A",IF((Inputs_Actuals!Y23*Contract_Register!$K$21+Inputs_Actuals!Y56*Contract_Register!$L$21)=0,0,Inputs_Actuals!Y89/(Inputs_Actuals!Y23*Contract_Register!$K$21+Inputs_Actuals!Y56*Contract_Register!$L$21)),X99*IF(AND(Assumptions!Y$201&gt;Contract_Register!$T$21,MOD(Assumptions!Y$201-Contract_Register!$T$21,12)=0),(1+Assumptions!$F$179)*IF(MOD(Assumptions!Y$201-Contract_Register!$T$21,Assumptions!$C$90)=0,1+Assumptions!$F$180,1),1))</f>
        <v>1.05677960551513</v>
      </c>
      <c r="Z99" s="107" t="n">
        <f aca="false">IF(Z$5="A",IF((Inputs_Actuals!Z23*Contract_Register!$K$21+Inputs_Actuals!Z56*Contract_Register!$L$21)=0,0,Inputs_Actuals!Z89/(Inputs_Actuals!Z23*Contract_Register!$K$21+Inputs_Actuals!Z56*Contract_Register!$L$21)),Y99*IF(AND(Assumptions!Z$201&gt;Contract_Register!$T$21,MOD(Assumptions!Z$201-Contract_Register!$T$21,12)=0),(1+Assumptions!$F$179)*IF(MOD(Assumptions!Z$201-Contract_Register!$T$21,Assumptions!$C$90)=0,1+Assumptions!$F$180,1),1))</f>
        <v>1.05677960551513</v>
      </c>
      <c r="AA99" s="107" t="n">
        <f aca="false">IF(AA$5="A",IF((Inputs_Actuals!AA23*Contract_Register!$K$21+Inputs_Actuals!AA56*Contract_Register!$L$21)=0,0,Inputs_Actuals!AA89/(Inputs_Actuals!AA23*Contract_Register!$K$21+Inputs_Actuals!AA56*Contract_Register!$L$21)),Z99*IF(AND(Assumptions!AA$201&gt;Contract_Register!$T$21,MOD(Assumptions!AA$201-Contract_Register!$T$21,12)=0),(1+Assumptions!$F$179)*IF(MOD(Assumptions!AA$201-Contract_Register!$T$21,Assumptions!$C$90)=0,1+Assumptions!$F$180,1),1))</f>
        <v>1.05677960551513</v>
      </c>
      <c r="AB99" s="107" t="n">
        <f aca="false">IF(AB$5="A",IF((Inputs_Actuals!AB23*Contract_Register!$K$21+Inputs_Actuals!AB56*Contract_Register!$L$21)=0,0,Inputs_Actuals!AB89/(Inputs_Actuals!AB23*Contract_Register!$K$21+Inputs_Actuals!AB56*Contract_Register!$L$21)),AA99*IF(AND(Assumptions!AB$201&gt;Contract_Register!$T$21,MOD(Assumptions!AB$201-Contract_Register!$T$21,12)=0),(1+Assumptions!$F$179)*IF(MOD(Assumptions!AB$201-Contract_Register!$T$21,Assumptions!$C$90)=0,1+Assumptions!$F$180,1),1))</f>
        <v>1.05677960551513</v>
      </c>
    </row>
    <row r="100" customFormat="false" ht="15" hidden="false" customHeight="false" outlineLevel="0" collapsed="false">
      <c r="A100" s="27" t="s">
        <v>828</v>
      </c>
      <c r="B100" s="63" t="s">
        <v>851</v>
      </c>
      <c r="C100" s="121" t="n">
        <f aca="false">P100</f>
        <v>1.03</v>
      </c>
      <c r="D100" s="121" t="n">
        <f aca="false">AB100</f>
        <v>1.0609</v>
      </c>
      <c r="E100" s="107" t="n">
        <f aca="false">IF(E$5="A",IF((Inputs_Actuals!E24*Contract_Register!$K$22+Inputs_Actuals!E57*Contract_Register!$L$22)=0,0,Inputs_Actuals!E90/(Inputs_Actuals!E24*Contract_Register!$K$22+Inputs_Actuals!E57*Contract_Register!$L$22)),1*IF(AND(Assumptions!E$201&gt;Contract_Register!$T$22,MOD(Assumptions!E$201-Contract_Register!$T$22,12)=0),(1+Assumptions!$F$179)*IF(MOD(Assumptions!E$201-Contract_Register!$T$22,Assumptions!$C$90)=0,1+Assumptions!$F$180,1),1))</f>
        <v>1</v>
      </c>
      <c r="F100" s="107" t="n">
        <f aca="false">IF(F$5="A",IF((Inputs_Actuals!F24*Contract_Register!$K$22+Inputs_Actuals!F57*Contract_Register!$L$22)=0,0,Inputs_Actuals!F90/(Inputs_Actuals!F24*Contract_Register!$K$22+Inputs_Actuals!F57*Contract_Register!$L$22)),E100*IF(AND(Assumptions!F$201&gt;Contract_Register!$T$22,MOD(Assumptions!F$201-Contract_Register!$T$22,12)=0),(1+Assumptions!$F$179)*IF(MOD(Assumptions!F$201-Contract_Register!$T$22,Assumptions!$C$90)=0,1+Assumptions!$F$180,1),1))</f>
        <v>1</v>
      </c>
      <c r="G100" s="107" t="n">
        <f aca="false">IF(G$5="A",IF((Inputs_Actuals!G24*Contract_Register!$K$22+Inputs_Actuals!G57*Contract_Register!$L$22)=0,0,Inputs_Actuals!G90/(Inputs_Actuals!G24*Contract_Register!$K$22+Inputs_Actuals!G57*Contract_Register!$L$22)),F100*IF(AND(Assumptions!G$201&gt;Contract_Register!$T$22,MOD(Assumptions!G$201-Contract_Register!$T$22,12)=0),(1+Assumptions!$F$179)*IF(MOD(Assumptions!G$201-Contract_Register!$T$22,Assumptions!$C$90)=0,1+Assumptions!$F$180,1),1))</f>
        <v>1</v>
      </c>
      <c r="H100" s="107" t="n">
        <f aca="false">IF(H$5="A",IF((Inputs_Actuals!H24*Contract_Register!$K$22+Inputs_Actuals!H57*Contract_Register!$L$22)=0,0,Inputs_Actuals!H90/(Inputs_Actuals!H24*Contract_Register!$K$22+Inputs_Actuals!H57*Contract_Register!$L$22)),G100*IF(AND(Assumptions!H$201&gt;Contract_Register!$T$22,MOD(Assumptions!H$201-Contract_Register!$T$22,12)=0),(1+Assumptions!$F$179)*IF(MOD(Assumptions!H$201-Contract_Register!$T$22,Assumptions!$C$90)=0,1+Assumptions!$F$180,1),1))</f>
        <v>1</v>
      </c>
      <c r="I100" s="107" t="n">
        <f aca="false">IF(I$5="A",IF((Inputs_Actuals!I24*Contract_Register!$K$22+Inputs_Actuals!I57*Contract_Register!$L$22)=0,0,Inputs_Actuals!I90/(Inputs_Actuals!I24*Contract_Register!$K$22+Inputs_Actuals!I57*Contract_Register!$L$22)),H100*IF(AND(Assumptions!I$201&gt;Contract_Register!$T$22,MOD(Assumptions!I$201-Contract_Register!$T$22,12)=0),(1+Assumptions!$F$179)*IF(MOD(Assumptions!I$201-Contract_Register!$T$22,Assumptions!$C$90)=0,1+Assumptions!$F$180,1),1))</f>
        <v>1</v>
      </c>
      <c r="J100" s="107" t="n">
        <f aca="false">IF(J$5="A",IF((Inputs_Actuals!J24*Contract_Register!$K$22+Inputs_Actuals!J57*Contract_Register!$L$22)=0,0,Inputs_Actuals!J90/(Inputs_Actuals!J24*Contract_Register!$K$22+Inputs_Actuals!J57*Contract_Register!$L$22)),I100*IF(AND(Assumptions!J$201&gt;Contract_Register!$T$22,MOD(Assumptions!J$201-Contract_Register!$T$22,12)=0),(1+Assumptions!$F$179)*IF(MOD(Assumptions!J$201-Contract_Register!$T$22,Assumptions!$C$90)=0,1+Assumptions!$F$180,1),1))</f>
        <v>1</v>
      </c>
      <c r="K100" s="107" t="n">
        <f aca="false">IF(K$5="A",IF((Inputs_Actuals!K24*Contract_Register!$K$22+Inputs_Actuals!K57*Contract_Register!$L$22)=0,0,Inputs_Actuals!K90/(Inputs_Actuals!K24*Contract_Register!$K$22+Inputs_Actuals!K57*Contract_Register!$L$22)),J100*IF(AND(Assumptions!K$201&gt;Contract_Register!$T$22,MOD(Assumptions!K$201-Contract_Register!$T$22,12)=0),(1+Assumptions!$F$179)*IF(MOD(Assumptions!K$201-Contract_Register!$T$22,Assumptions!$C$90)=0,1+Assumptions!$F$180,1),1))</f>
        <v>1</v>
      </c>
      <c r="L100" s="107" t="n">
        <f aca="false">IF(L$5="A",IF((Inputs_Actuals!L24*Contract_Register!$K$22+Inputs_Actuals!L57*Contract_Register!$L$22)=0,0,Inputs_Actuals!L90/(Inputs_Actuals!L24*Contract_Register!$K$22+Inputs_Actuals!L57*Contract_Register!$L$22)),K100*IF(AND(Assumptions!L$201&gt;Contract_Register!$T$22,MOD(Assumptions!L$201-Contract_Register!$T$22,12)=0),(1+Assumptions!$F$179)*IF(MOD(Assumptions!L$201-Contract_Register!$T$22,Assumptions!$C$90)=0,1+Assumptions!$F$180,1),1))</f>
        <v>1</v>
      </c>
      <c r="M100" s="107" t="n">
        <f aca="false">IF(M$5="A",IF((Inputs_Actuals!M24*Contract_Register!$K$22+Inputs_Actuals!M57*Contract_Register!$L$22)=0,0,Inputs_Actuals!M90/(Inputs_Actuals!M24*Contract_Register!$K$22+Inputs_Actuals!M57*Contract_Register!$L$22)),L100*IF(AND(Assumptions!M$201&gt;Contract_Register!$T$22,MOD(Assumptions!M$201-Contract_Register!$T$22,12)=0),(1+Assumptions!$F$179)*IF(MOD(Assumptions!M$201-Contract_Register!$T$22,Assumptions!$C$90)=0,1+Assumptions!$F$180,1),1))</f>
        <v>1</v>
      </c>
      <c r="N100" s="107" t="n">
        <f aca="false">IF(N$5="A",IF((Inputs_Actuals!N24*Contract_Register!$K$22+Inputs_Actuals!N57*Contract_Register!$L$22)=0,0,Inputs_Actuals!N90/(Inputs_Actuals!N24*Contract_Register!$K$22+Inputs_Actuals!N57*Contract_Register!$L$22)),M100*IF(AND(Assumptions!N$201&gt;Contract_Register!$T$22,MOD(Assumptions!N$201-Contract_Register!$T$22,12)=0),(1+Assumptions!$F$179)*IF(MOD(Assumptions!N$201-Contract_Register!$T$22,Assumptions!$C$90)=0,1+Assumptions!$F$180,1),1))</f>
        <v>1.03</v>
      </c>
      <c r="O100" s="107" t="n">
        <f aca="false">IF(O$5="A",IF((Inputs_Actuals!O24*Contract_Register!$K$22+Inputs_Actuals!O57*Contract_Register!$L$22)=0,0,Inputs_Actuals!O90/(Inputs_Actuals!O24*Contract_Register!$K$22+Inputs_Actuals!O57*Contract_Register!$L$22)),N100*IF(AND(Assumptions!O$201&gt;Contract_Register!$T$22,MOD(Assumptions!O$201-Contract_Register!$T$22,12)=0),(1+Assumptions!$F$179)*IF(MOD(Assumptions!O$201-Contract_Register!$T$22,Assumptions!$C$90)=0,1+Assumptions!$F$180,1),1))</f>
        <v>1.03</v>
      </c>
      <c r="P100" s="107" t="n">
        <f aca="false">IF(P$5="A",IF((Inputs_Actuals!P24*Contract_Register!$K$22+Inputs_Actuals!P57*Contract_Register!$L$22)=0,0,Inputs_Actuals!P90/(Inputs_Actuals!P24*Contract_Register!$K$22+Inputs_Actuals!P57*Contract_Register!$L$22)),O100*IF(AND(Assumptions!P$201&gt;Contract_Register!$T$22,MOD(Assumptions!P$201-Contract_Register!$T$22,12)=0),(1+Assumptions!$F$179)*IF(MOD(Assumptions!P$201-Contract_Register!$T$22,Assumptions!$C$90)=0,1+Assumptions!$F$180,1),1))</f>
        <v>1.03</v>
      </c>
      <c r="Q100" s="107" t="n">
        <f aca="false">IF(Q$5="A",IF((Inputs_Actuals!Q24*Contract_Register!$K$22+Inputs_Actuals!Q57*Contract_Register!$L$22)=0,0,Inputs_Actuals!Q90/(Inputs_Actuals!Q24*Contract_Register!$K$22+Inputs_Actuals!Q57*Contract_Register!$L$22)),P100*IF(AND(Assumptions!Q$201&gt;Contract_Register!$T$22,MOD(Assumptions!Q$201-Contract_Register!$T$22,12)=0),(1+Assumptions!$F$179)*IF(MOD(Assumptions!Q$201-Contract_Register!$T$22,Assumptions!$C$90)=0,1+Assumptions!$F$180,1),1))</f>
        <v>1.03</v>
      </c>
      <c r="R100" s="107" t="n">
        <f aca="false">IF(R$5="A",IF((Inputs_Actuals!R24*Contract_Register!$K$22+Inputs_Actuals!R57*Contract_Register!$L$22)=0,0,Inputs_Actuals!R90/(Inputs_Actuals!R24*Contract_Register!$K$22+Inputs_Actuals!R57*Contract_Register!$L$22)),Q100*IF(AND(Assumptions!R$201&gt;Contract_Register!$T$22,MOD(Assumptions!R$201-Contract_Register!$T$22,12)=0),(1+Assumptions!$F$179)*IF(MOD(Assumptions!R$201-Contract_Register!$T$22,Assumptions!$C$90)=0,1+Assumptions!$F$180,1),1))</f>
        <v>1.03</v>
      </c>
      <c r="S100" s="107" t="n">
        <f aca="false">IF(S$5="A",IF((Inputs_Actuals!S24*Contract_Register!$K$22+Inputs_Actuals!S57*Contract_Register!$L$22)=0,0,Inputs_Actuals!S90/(Inputs_Actuals!S24*Contract_Register!$K$22+Inputs_Actuals!S57*Contract_Register!$L$22)),R100*IF(AND(Assumptions!S$201&gt;Contract_Register!$T$22,MOD(Assumptions!S$201-Contract_Register!$T$22,12)=0),(1+Assumptions!$F$179)*IF(MOD(Assumptions!S$201-Contract_Register!$T$22,Assumptions!$C$90)=0,1+Assumptions!$F$180,1),1))</f>
        <v>1.03</v>
      </c>
      <c r="T100" s="107" t="n">
        <f aca="false">IF(T$5="A",IF((Inputs_Actuals!T24*Contract_Register!$K$22+Inputs_Actuals!T57*Contract_Register!$L$22)=0,0,Inputs_Actuals!T90/(Inputs_Actuals!T24*Contract_Register!$K$22+Inputs_Actuals!T57*Contract_Register!$L$22)),S100*IF(AND(Assumptions!T$201&gt;Contract_Register!$T$22,MOD(Assumptions!T$201-Contract_Register!$T$22,12)=0),(1+Assumptions!$F$179)*IF(MOD(Assumptions!T$201-Contract_Register!$T$22,Assumptions!$C$90)=0,1+Assumptions!$F$180,1),1))</f>
        <v>1.03</v>
      </c>
      <c r="U100" s="107" t="n">
        <f aca="false">IF(U$5="A",IF((Inputs_Actuals!U24*Contract_Register!$K$22+Inputs_Actuals!U57*Contract_Register!$L$22)=0,0,Inputs_Actuals!U90/(Inputs_Actuals!U24*Contract_Register!$K$22+Inputs_Actuals!U57*Contract_Register!$L$22)),T100*IF(AND(Assumptions!U$201&gt;Contract_Register!$T$22,MOD(Assumptions!U$201-Contract_Register!$T$22,12)=0),(1+Assumptions!$F$179)*IF(MOD(Assumptions!U$201-Contract_Register!$T$22,Assumptions!$C$90)=0,1+Assumptions!$F$180,1),1))</f>
        <v>1.03</v>
      </c>
      <c r="V100" s="107" t="n">
        <f aca="false">IF(V$5="A",IF((Inputs_Actuals!V24*Contract_Register!$K$22+Inputs_Actuals!V57*Contract_Register!$L$22)=0,0,Inputs_Actuals!V90/(Inputs_Actuals!V24*Contract_Register!$K$22+Inputs_Actuals!V57*Contract_Register!$L$22)),U100*IF(AND(Assumptions!V$201&gt;Contract_Register!$T$22,MOD(Assumptions!V$201-Contract_Register!$T$22,12)=0),(1+Assumptions!$F$179)*IF(MOD(Assumptions!V$201-Contract_Register!$T$22,Assumptions!$C$90)=0,1+Assumptions!$F$180,1),1))</f>
        <v>1.03</v>
      </c>
      <c r="W100" s="107" t="n">
        <f aca="false">IF(W$5="A",IF((Inputs_Actuals!W24*Contract_Register!$K$22+Inputs_Actuals!W57*Contract_Register!$L$22)=0,0,Inputs_Actuals!W90/(Inputs_Actuals!W24*Contract_Register!$K$22+Inputs_Actuals!W57*Contract_Register!$L$22)),V100*IF(AND(Assumptions!W$201&gt;Contract_Register!$T$22,MOD(Assumptions!W$201-Contract_Register!$T$22,12)=0),(1+Assumptions!$F$179)*IF(MOD(Assumptions!W$201-Contract_Register!$T$22,Assumptions!$C$90)=0,1+Assumptions!$F$180,1),1))</f>
        <v>1.03</v>
      </c>
      <c r="X100" s="107" t="n">
        <f aca="false">IF(X$5="A",IF((Inputs_Actuals!X24*Contract_Register!$K$22+Inputs_Actuals!X57*Contract_Register!$L$22)=0,0,Inputs_Actuals!X90/(Inputs_Actuals!X24*Contract_Register!$K$22+Inputs_Actuals!X57*Contract_Register!$L$22)),W100*IF(AND(Assumptions!X$201&gt;Contract_Register!$T$22,MOD(Assumptions!X$201-Contract_Register!$T$22,12)=0),(1+Assumptions!$F$179)*IF(MOD(Assumptions!X$201-Contract_Register!$T$22,Assumptions!$C$90)=0,1+Assumptions!$F$180,1),1))</f>
        <v>1.03</v>
      </c>
      <c r="Y100" s="107" t="n">
        <f aca="false">IF(Y$5="A",IF((Inputs_Actuals!Y24*Contract_Register!$K$22+Inputs_Actuals!Y57*Contract_Register!$L$22)=0,0,Inputs_Actuals!Y90/(Inputs_Actuals!Y24*Contract_Register!$K$22+Inputs_Actuals!Y57*Contract_Register!$L$22)),X100*IF(AND(Assumptions!Y$201&gt;Contract_Register!$T$22,MOD(Assumptions!Y$201-Contract_Register!$T$22,12)=0),(1+Assumptions!$F$179)*IF(MOD(Assumptions!Y$201-Contract_Register!$T$22,Assumptions!$C$90)=0,1+Assumptions!$F$180,1),1))</f>
        <v>1.03</v>
      </c>
      <c r="Z100" s="107" t="n">
        <f aca="false">IF(Z$5="A",IF((Inputs_Actuals!Z24*Contract_Register!$K$22+Inputs_Actuals!Z57*Contract_Register!$L$22)=0,0,Inputs_Actuals!Z90/(Inputs_Actuals!Z24*Contract_Register!$K$22+Inputs_Actuals!Z57*Contract_Register!$L$22)),Y100*IF(AND(Assumptions!Z$201&gt;Contract_Register!$T$22,MOD(Assumptions!Z$201-Contract_Register!$T$22,12)=0),(1+Assumptions!$F$179)*IF(MOD(Assumptions!Z$201-Contract_Register!$T$22,Assumptions!$C$90)=0,1+Assumptions!$F$180,1),1))</f>
        <v>1.0609</v>
      </c>
      <c r="AA100" s="107" t="n">
        <f aca="false">IF(AA$5="A",IF((Inputs_Actuals!AA24*Contract_Register!$K$22+Inputs_Actuals!AA57*Contract_Register!$L$22)=0,0,Inputs_Actuals!AA90/(Inputs_Actuals!AA24*Contract_Register!$K$22+Inputs_Actuals!AA57*Contract_Register!$L$22)),Z100*IF(AND(Assumptions!AA$201&gt;Contract_Register!$T$22,MOD(Assumptions!AA$201-Contract_Register!$T$22,12)=0),(1+Assumptions!$F$179)*IF(MOD(Assumptions!AA$201-Contract_Register!$T$22,Assumptions!$C$90)=0,1+Assumptions!$F$180,1),1))</f>
        <v>1.0609</v>
      </c>
      <c r="AB100" s="107" t="n">
        <f aca="false">IF(AB$5="A",IF((Inputs_Actuals!AB24*Contract_Register!$K$22+Inputs_Actuals!AB57*Contract_Register!$L$22)=0,0,Inputs_Actuals!AB90/(Inputs_Actuals!AB24*Contract_Register!$K$22+Inputs_Actuals!AB57*Contract_Register!$L$22)),AA100*IF(AND(Assumptions!AB$201&gt;Contract_Register!$T$22,MOD(Assumptions!AB$201-Contract_Register!$T$22,12)=0),(1+Assumptions!$F$179)*IF(MOD(Assumptions!AB$201-Contract_Register!$T$22,Assumptions!$C$90)=0,1+Assumptions!$F$180,1),1))</f>
        <v>1.0609</v>
      </c>
    </row>
    <row r="101" customFormat="false" ht="15" hidden="false" customHeight="false" outlineLevel="0" collapsed="false">
      <c r="A101" s="27" t="s">
        <v>829</v>
      </c>
      <c r="B101" s="63" t="s">
        <v>851</v>
      </c>
      <c r="C101" s="121" t="n">
        <f aca="false">P101</f>
        <v>1.02600023815194</v>
      </c>
      <c r="D101" s="121" t="n">
        <f aca="false">AB101</f>
        <v>1.0567802452965</v>
      </c>
      <c r="E101" s="107" t="n">
        <f aca="false">IF(E$5="A",IF((Inputs_Actuals!E25*Contract_Register!$K$23+Inputs_Actuals!E58*Contract_Register!$L$23)=0,0,Inputs_Actuals!E91/(Inputs_Actuals!E25*Contract_Register!$K$23+Inputs_Actuals!E58*Contract_Register!$L$23)),1*IF(AND(Assumptions!E$201&gt;Contract_Register!$T$23,MOD(Assumptions!E$201-Contract_Register!$T$23,12)=0),(1+Assumptions!$F$179)*IF(MOD(Assumptions!E$201-Contract_Register!$T$23,Assumptions!$C$90)=0,1+Assumptions!$F$180,1),1))</f>
        <v>1</v>
      </c>
      <c r="F101" s="107" t="n">
        <f aca="false">IF(F$5="A",IF((Inputs_Actuals!F25*Contract_Register!$K$23+Inputs_Actuals!F58*Contract_Register!$L$23)=0,0,Inputs_Actuals!F91/(Inputs_Actuals!F25*Contract_Register!$K$23+Inputs_Actuals!F58*Contract_Register!$L$23)),E101*IF(AND(Assumptions!F$201&gt;Contract_Register!$T$23,MOD(Assumptions!F$201-Contract_Register!$T$23,12)=0),(1+Assumptions!$F$179)*IF(MOD(Assumptions!F$201-Contract_Register!$T$23,Assumptions!$C$90)=0,1+Assumptions!$F$180,1),1))</f>
        <v>1</v>
      </c>
      <c r="G101" s="107" t="n">
        <f aca="false">IF(G$5="A",IF((Inputs_Actuals!G25*Contract_Register!$K$23+Inputs_Actuals!G58*Contract_Register!$L$23)=0,0,Inputs_Actuals!G91/(Inputs_Actuals!G25*Contract_Register!$K$23+Inputs_Actuals!G58*Contract_Register!$L$23)),F101*IF(AND(Assumptions!G$201&gt;Contract_Register!$T$23,MOD(Assumptions!G$201-Contract_Register!$T$23,12)=0),(1+Assumptions!$F$179)*IF(MOD(Assumptions!G$201-Contract_Register!$T$23,Assumptions!$C$90)=0,1+Assumptions!$F$180,1),1))</f>
        <v>1</v>
      </c>
      <c r="H101" s="107" t="n">
        <f aca="false">IF(H$5="A",IF((Inputs_Actuals!H25*Contract_Register!$K$23+Inputs_Actuals!H58*Contract_Register!$L$23)=0,0,Inputs_Actuals!H91/(Inputs_Actuals!H25*Contract_Register!$K$23+Inputs_Actuals!H58*Contract_Register!$L$23)),G101*IF(AND(Assumptions!H$201&gt;Contract_Register!$T$23,MOD(Assumptions!H$201-Contract_Register!$T$23,12)=0),(1+Assumptions!$F$179)*IF(MOD(Assumptions!H$201-Contract_Register!$T$23,Assumptions!$C$90)=0,1+Assumptions!$F$180,1),1))</f>
        <v>1</v>
      </c>
      <c r="I101" s="107" t="n">
        <f aca="false">IF(I$5="A",IF((Inputs_Actuals!I25*Contract_Register!$K$23+Inputs_Actuals!I58*Contract_Register!$L$23)=0,0,Inputs_Actuals!I91/(Inputs_Actuals!I25*Contract_Register!$K$23+Inputs_Actuals!I58*Contract_Register!$L$23)),H101*IF(AND(Assumptions!I$201&gt;Contract_Register!$T$23,MOD(Assumptions!I$201-Contract_Register!$T$23,12)=0),(1+Assumptions!$F$179)*IF(MOD(Assumptions!I$201-Contract_Register!$T$23,Assumptions!$C$90)=0,1+Assumptions!$F$180,1),1))</f>
        <v>1</v>
      </c>
      <c r="J101" s="107" t="n">
        <f aca="false">IF(J$5="A",IF((Inputs_Actuals!J25*Contract_Register!$K$23+Inputs_Actuals!J58*Contract_Register!$L$23)=0,0,Inputs_Actuals!J91/(Inputs_Actuals!J25*Contract_Register!$K$23+Inputs_Actuals!J58*Contract_Register!$L$23)),I101*IF(AND(Assumptions!J$201&gt;Contract_Register!$T$23,MOD(Assumptions!J$201-Contract_Register!$T$23,12)=0),(1+Assumptions!$F$179)*IF(MOD(Assumptions!J$201-Contract_Register!$T$23,Assumptions!$C$90)=0,1+Assumptions!$F$180,1),1))</f>
        <v>1</v>
      </c>
      <c r="K101" s="107" t="n">
        <f aca="false">IF(K$5="A",IF((Inputs_Actuals!K25*Contract_Register!$K$23+Inputs_Actuals!K58*Contract_Register!$L$23)=0,0,Inputs_Actuals!K91/(Inputs_Actuals!K25*Contract_Register!$K$23+Inputs_Actuals!K58*Contract_Register!$L$23)),J101*IF(AND(Assumptions!K$201&gt;Contract_Register!$T$23,MOD(Assumptions!K$201-Contract_Register!$T$23,12)=0),(1+Assumptions!$F$179)*IF(MOD(Assumptions!K$201-Contract_Register!$T$23,Assumptions!$C$90)=0,1+Assumptions!$F$180,1),1))</f>
        <v>1</v>
      </c>
      <c r="L101" s="107" t="n">
        <f aca="false">IF(L$5="A",IF((Inputs_Actuals!L25*Contract_Register!$K$23+Inputs_Actuals!L58*Contract_Register!$L$23)=0,0,Inputs_Actuals!L91/(Inputs_Actuals!L25*Contract_Register!$K$23+Inputs_Actuals!L58*Contract_Register!$L$23)),K101*IF(AND(Assumptions!L$201&gt;Contract_Register!$T$23,MOD(Assumptions!L$201-Contract_Register!$T$23,12)=0),(1+Assumptions!$F$179)*IF(MOD(Assumptions!L$201-Contract_Register!$T$23,Assumptions!$C$90)=0,1+Assumptions!$F$180,1),1))</f>
        <v>1.02600023815194</v>
      </c>
      <c r="M101" s="107" t="n">
        <f aca="false">IF(M$5="A",IF((Inputs_Actuals!M25*Contract_Register!$K$23+Inputs_Actuals!M58*Contract_Register!$L$23)=0,0,Inputs_Actuals!M91/(Inputs_Actuals!M25*Contract_Register!$K$23+Inputs_Actuals!M58*Contract_Register!$L$23)),L101*IF(AND(Assumptions!M$201&gt;Contract_Register!$T$23,MOD(Assumptions!M$201-Contract_Register!$T$23,12)=0),(1+Assumptions!$F$179)*IF(MOD(Assumptions!M$201-Contract_Register!$T$23,Assumptions!$C$90)=0,1+Assumptions!$F$180,1),1))</f>
        <v>1.02600023815194</v>
      </c>
      <c r="N101" s="107" t="n">
        <f aca="false">IF(N$5="A",IF((Inputs_Actuals!N25*Contract_Register!$K$23+Inputs_Actuals!N58*Contract_Register!$L$23)=0,0,Inputs_Actuals!N91/(Inputs_Actuals!N25*Contract_Register!$K$23+Inputs_Actuals!N58*Contract_Register!$L$23)),M101*IF(AND(Assumptions!N$201&gt;Contract_Register!$T$23,MOD(Assumptions!N$201-Contract_Register!$T$23,12)=0),(1+Assumptions!$F$179)*IF(MOD(Assumptions!N$201-Contract_Register!$T$23,Assumptions!$C$90)=0,1+Assumptions!$F$180,1),1))</f>
        <v>1.02600023815194</v>
      </c>
      <c r="O101" s="107" t="n">
        <f aca="false">IF(O$5="A",IF((Inputs_Actuals!O25*Contract_Register!$K$23+Inputs_Actuals!O58*Contract_Register!$L$23)=0,0,Inputs_Actuals!O91/(Inputs_Actuals!O25*Contract_Register!$K$23+Inputs_Actuals!O58*Contract_Register!$L$23)),N101*IF(AND(Assumptions!O$201&gt;Contract_Register!$T$23,MOD(Assumptions!O$201-Contract_Register!$T$23,12)=0),(1+Assumptions!$F$179)*IF(MOD(Assumptions!O$201-Contract_Register!$T$23,Assumptions!$C$90)=0,1+Assumptions!$F$180,1),1))</f>
        <v>1.02600023815194</v>
      </c>
      <c r="P101" s="107" t="n">
        <f aca="false">IF(P$5="A",IF((Inputs_Actuals!P25*Contract_Register!$K$23+Inputs_Actuals!P58*Contract_Register!$L$23)=0,0,Inputs_Actuals!P91/(Inputs_Actuals!P25*Contract_Register!$K$23+Inputs_Actuals!P58*Contract_Register!$L$23)),O101*IF(AND(Assumptions!P$201&gt;Contract_Register!$T$23,MOD(Assumptions!P$201-Contract_Register!$T$23,12)=0),(1+Assumptions!$F$179)*IF(MOD(Assumptions!P$201-Contract_Register!$T$23,Assumptions!$C$90)=0,1+Assumptions!$F$180,1),1))</f>
        <v>1.02600023815194</v>
      </c>
      <c r="Q101" s="107" t="n">
        <f aca="false">IF(Q$5="A",IF((Inputs_Actuals!Q25*Contract_Register!$K$23+Inputs_Actuals!Q58*Contract_Register!$L$23)=0,0,Inputs_Actuals!Q91/(Inputs_Actuals!Q25*Contract_Register!$K$23+Inputs_Actuals!Q58*Contract_Register!$L$23)),P101*IF(AND(Assumptions!Q$201&gt;Contract_Register!$T$23,MOD(Assumptions!Q$201-Contract_Register!$T$23,12)=0),(1+Assumptions!$F$179)*IF(MOD(Assumptions!Q$201-Contract_Register!$T$23,Assumptions!$C$90)=0,1+Assumptions!$F$180,1),1))</f>
        <v>1.02600023815194</v>
      </c>
      <c r="R101" s="107" t="n">
        <f aca="false">IF(R$5="A",IF((Inputs_Actuals!R25*Contract_Register!$K$23+Inputs_Actuals!R58*Contract_Register!$L$23)=0,0,Inputs_Actuals!R91/(Inputs_Actuals!R25*Contract_Register!$K$23+Inputs_Actuals!R58*Contract_Register!$L$23)),Q101*IF(AND(Assumptions!R$201&gt;Contract_Register!$T$23,MOD(Assumptions!R$201-Contract_Register!$T$23,12)=0),(1+Assumptions!$F$179)*IF(MOD(Assumptions!R$201-Contract_Register!$T$23,Assumptions!$C$90)=0,1+Assumptions!$F$180,1),1))</f>
        <v>1.02600023815194</v>
      </c>
      <c r="S101" s="107" t="n">
        <f aca="false">IF(S$5="A",IF((Inputs_Actuals!S25*Contract_Register!$K$23+Inputs_Actuals!S58*Contract_Register!$L$23)=0,0,Inputs_Actuals!S91/(Inputs_Actuals!S25*Contract_Register!$K$23+Inputs_Actuals!S58*Contract_Register!$L$23)),R101*IF(AND(Assumptions!S$201&gt;Contract_Register!$T$23,MOD(Assumptions!S$201-Contract_Register!$T$23,12)=0),(1+Assumptions!$F$179)*IF(MOD(Assumptions!S$201-Contract_Register!$T$23,Assumptions!$C$90)=0,1+Assumptions!$F$180,1),1))</f>
        <v>1.02600023815194</v>
      </c>
      <c r="T101" s="107" t="n">
        <f aca="false">IF(T$5="A",IF((Inputs_Actuals!T25*Contract_Register!$K$23+Inputs_Actuals!T58*Contract_Register!$L$23)=0,0,Inputs_Actuals!T91/(Inputs_Actuals!T25*Contract_Register!$K$23+Inputs_Actuals!T58*Contract_Register!$L$23)),S101*IF(AND(Assumptions!T$201&gt;Contract_Register!$T$23,MOD(Assumptions!T$201-Contract_Register!$T$23,12)=0),(1+Assumptions!$F$179)*IF(MOD(Assumptions!T$201-Contract_Register!$T$23,Assumptions!$C$90)=0,1+Assumptions!$F$180,1),1))</f>
        <v>1.02600023815194</v>
      </c>
      <c r="U101" s="107" t="n">
        <f aca="false">IF(U$5="A",IF((Inputs_Actuals!U25*Contract_Register!$K$23+Inputs_Actuals!U58*Contract_Register!$L$23)=0,0,Inputs_Actuals!U91/(Inputs_Actuals!U25*Contract_Register!$K$23+Inputs_Actuals!U58*Contract_Register!$L$23)),T101*IF(AND(Assumptions!U$201&gt;Contract_Register!$T$23,MOD(Assumptions!U$201-Contract_Register!$T$23,12)=0),(1+Assumptions!$F$179)*IF(MOD(Assumptions!U$201-Contract_Register!$T$23,Assumptions!$C$90)=0,1+Assumptions!$F$180,1),1))</f>
        <v>1.02600023815194</v>
      </c>
      <c r="V101" s="107" t="n">
        <f aca="false">IF(V$5="A",IF((Inputs_Actuals!V25*Contract_Register!$K$23+Inputs_Actuals!V58*Contract_Register!$L$23)=0,0,Inputs_Actuals!V91/(Inputs_Actuals!V25*Contract_Register!$K$23+Inputs_Actuals!V58*Contract_Register!$L$23)),U101*IF(AND(Assumptions!V$201&gt;Contract_Register!$T$23,MOD(Assumptions!V$201-Contract_Register!$T$23,12)=0),(1+Assumptions!$F$179)*IF(MOD(Assumptions!V$201-Contract_Register!$T$23,Assumptions!$C$90)=0,1+Assumptions!$F$180,1),1))</f>
        <v>1.02600023815194</v>
      </c>
      <c r="W101" s="107" t="n">
        <f aca="false">IF(W$5="A",IF((Inputs_Actuals!W25*Contract_Register!$K$23+Inputs_Actuals!W58*Contract_Register!$L$23)=0,0,Inputs_Actuals!W91/(Inputs_Actuals!W25*Contract_Register!$K$23+Inputs_Actuals!W58*Contract_Register!$L$23)),V101*IF(AND(Assumptions!W$201&gt;Contract_Register!$T$23,MOD(Assumptions!W$201-Contract_Register!$T$23,12)=0),(1+Assumptions!$F$179)*IF(MOD(Assumptions!W$201-Contract_Register!$T$23,Assumptions!$C$90)=0,1+Assumptions!$F$180,1),1))</f>
        <v>1.02600023815194</v>
      </c>
      <c r="X101" s="107" t="n">
        <f aca="false">IF(X$5="A",IF((Inputs_Actuals!X25*Contract_Register!$K$23+Inputs_Actuals!X58*Contract_Register!$L$23)=0,0,Inputs_Actuals!X91/(Inputs_Actuals!X25*Contract_Register!$K$23+Inputs_Actuals!X58*Contract_Register!$L$23)),W101*IF(AND(Assumptions!X$201&gt;Contract_Register!$T$23,MOD(Assumptions!X$201-Contract_Register!$T$23,12)=0),(1+Assumptions!$F$179)*IF(MOD(Assumptions!X$201-Contract_Register!$T$23,Assumptions!$C$90)=0,1+Assumptions!$F$180,1),1))</f>
        <v>1.0567802452965</v>
      </c>
      <c r="Y101" s="107" t="n">
        <f aca="false">IF(Y$5="A",IF((Inputs_Actuals!Y25*Contract_Register!$K$23+Inputs_Actuals!Y58*Contract_Register!$L$23)=0,0,Inputs_Actuals!Y91/(Inputs_Actuals!Y25*Contract_Register!$K$23+Inputs_Actuals!Y58*Contract_Register!$L$23)),X101*IF(AND(Assumptions!Y$201&gt;Contract_Register!$T$23,MOD(Assumptions!Y$201-Contract_Register!$T$23,12)=0),(1+Assumptions!$F$179)*IF(MOD(Assumptions!Y$201-Contract_Register!$T$23,Assumptions!$C$90)=0,1+Assumptions!$F$180,1),1))</f>
        <v>1.0567802452965</v>
      </c>
      <c r="Z101" s="107" t="n">
        <f aca="false">IF(Z$5="A",IF((Inputs_Actuals!Z25*Contract_Register!$K$23+Inputs_Actuals!Z58*Contract_Register!$L$23)=0,0,Inputs_Actuals!Z91/(Inputs_Actuals!Z25*Contract_Register!$K$23+Inputs_Actuals!Z58*Contract_Register!$L$23)),Y101*IF(AND(Assumptions!Z$201&gt;Contract_Register!$T$23,MOD(Assumptions!Z$201-Contract_Register!$T$23,12)=0),(1+Assumptions!$F$179)*IF(MOD(Assumptions!Z$201-Contract_Register!$T$23,Assumptions!$C$90)=0,1+Assumptions!$F$180,1),1))</f>
        <v>1.0567802452965</v>
      </c>
      <c r="AA101" s="107" t="n">
        <f aca="false">IF(AA$5="A",IF((Inputs_Actuals!AA25*Contract_Register!$K$23+Inputs_Actuals!AA58*Contract_Register!$L$23)=0,0,Inputs_Actuals!AA91/(Inputs_Actuals!AA25*Contract_Register!$K$23+Inputs_Actuals!AA58*Contract_Register!$L$23)),Z101*IF(AND(Assumptions!AA$201&gt;Contract_Register!$T$23,MOD(Assumptions!AA$201-Contract_Register!$T$23,12)=0),(1+Assumptions!$F$179)*IF(MOD(Assumptions!AA$201-Contract_Register!$T$23,Assumptions!$C$90)=0,1+Assumptions!$F$180,1),1))</f>
        <v>1.0567802452965</v>
      </c>
      <c r="AB101" s="107" t="n">
        <f aca="false">IF(AB$5="A",IF((Inputs_Actuals!AB25*Contract_Register!$K$23+Inputs_Actuals!AB58*Contract_Register!$L$23)=0,0,Inputs_Actuals!AB91/(Inputs_Actuals!AB25*Contract_Register!$K$23+Inputs_Actuals!AB58*Contract_Register!$L$23)),AA101*IF(AND(Assumptions!AB$201&gt;Contract_Register!$T$23,MOD(Assumptions!AB$201-Contract_Register!$T$23,12)=0),(1+Assumptions!$F$179)*IF(MOD(Assumptions!AB$201-Contract_Register!$T$23,Assumptions!$C$90)=0,1+Assumptions!$F$180,1),1))</f>
        <v>1.0567802452965</v>
      </c>
    </row>
    <row r="102" customFormat="false" ht="15" hidden="false" customHeight="false" outlineLevel="0" collapsed="false">
      <c r="A102" s="27" t="s">
        <v>830</v>
      </c>
      <c r="B102" s="63" t="s">
        <v>851</v>
      </c>
      <c r="C102" s="121" t="n">
        <f aca="false">P102</f>
        <v>1.02600059916117</v>
      </c>
      <c r="D102" s="121" t="n">
        <f aca="false">AB102</f>
        <v>1.05678061713601</v>
      </c>
      <c r="E102" s="107" t="n">
        <f aca="false">IF(E$5="A",IF((Inputs_Actuals!E26*Contract_Register!$K$24+Inputs_Actuals!E59*Contract_Register!$L$24)=0,0,Inputs_Actuals!E92/(Inputs_Actuals!E26*Contract_Register!$K$24+Inputs_Actuals!E59*Contract_Register!$L$24)),1*IF(AND(Assumptions!E$201&gt;Contract_Register!$T$24,MOD(Assumptions!E$201-Contract_Register!$T$24,12)=0),(1+Assumptions!$F$179)*IF(MOD(Assumptions!E$201-Contract_Register!$T$24,Assumptions!$C$90)=0,1+Assumptions!$F$180,1),1))</f>
        <v>1</v>
      </c>
      <c r="F102" s="107" t="n">
        <f aca="false">IF(F$5="A",IF((Inputs_Actuals!F26*Contract_Register!$K$24+Inputs_Actuals!F59*Contract_Register!$L$24)=0,0,Inputs_Actuals!F92/(Inputs_Actuals!F26*Contract_Register!$K$24+Inputs_Actuals!F59*Contract_Register!$L$24)),E102*IF(AND(Assumptions!F$201&gt;Contract_Register!$T$24,MOD(Assumptions!F$201-Contract_Register!$T$24,12)=0),(1+Assumptions!$F$179)*IF(MOD(Assumptions!F$201-Contract_Register!$T$24,Assumptions!$C$90)=0,1+Assumptions!$F$180,1),1))</f>
        <v>1</v>
      </c>
      <c r="G102" s="107" t="n">
        <f aca="false">IF(G$5="A",IF((Inputs_Actuals!G26*Contract_Register!$K$24+Inputs_Actuals!G59*Contract_Register!$L$24)=0,0,Inputs_Actuals!G92/(Inputs_Actuals!G26*Contract_Register!$K$24+Inputs_Actuals!G59*Contract_Register!$L$24)),F102*IF(AND(Assumptions!G$201&gt;Contract_Register!$T$24,MOD(Assumptions!G$201-Contract_Register!$T$24,12)=0),(1+Assumptions!$F$179)*IF(MOD(Assumptions!G$201-Contract_Register!$T$24,Assumptions!$C$90)=0,1+Assumptions!$F$180,1),1))</f>
        <v>1</v>
      </c>
      <c r="H102" s="107" t="n">
        <f aca="false">IF(H$5="A",IF((Inputs_Actuals!H26*Contract_Register!$K$24+Inputs_Actuals!H59*Contract_Register!$L$24)=0,0,Inputs_Actuals!H92/(Inputs_Actuals!H26*Contract_Register!$K$24+Inputs_Actuals!H59*Contract_Register!$L$24)),G102*IF(AND(Assumptions!H$201&gt;Contract_Register!$T$24,MOD(Assumptions!H$201-Contract_Register!$T$24,12)=0),(1+Assumptions!$F$179)*IF(MOD(Assumptions!H$201-Contract_Register!$T$24,Assumptions!$C$90)=0,1+Assumptions!$F$180,1),1))</f>
        <v>1</v>
      </c>
      <c r="I102" s="107" t="n">
        <f aca="false">IF(I$5="A",IF((Inputs_Actuals!I26*Contract_Register!$K$24+Inputs_Actuals!I59*Contract_Register!$L$24)=0,0,Inputs_Actuals!I92/(Inputs_Actuals!I26*Contract_Register!$K$24+Inputs_Actuals!I59*Contract_Register!$L$24)),H102*IF(AND(Assumptions!I$201&gt;Contract_Register!$T$24,MOD(Assumptions!I$201-Contract_Register!$T$24,12)=0),(1+Assumptions!$F$179)*IF(MOD(Assumptions!I$201-Contract_Register!$T$24,Assumptions!$C$90)=0,1+Assumptions!$F$180,1),1))</f>
        <v>1</v>
      </c>
      <c r="J102" s="107" t="n">
        <f aca="false">IF(J$5="A",IF((Inputs_Actuals!J26*Contract_Register!$K$24+Inputs_Actuals!J59*Contract_Register!$L$24)=0,0,Inputs_Actuals!J92/(Inputs_Actuals!J26*Contract_Register!$K$24+Inputs_Actuals!J59*Contract_Register!$L$24)),I102*IF(AND(Assumptions!J$201&gt;Contract_Register!$T$24,MOD(Assumptions!J$201-Contract_Register!$T$24,12)=0),(1+Assumptions!$F$179)*IF(MOD(Assumptions!J$201-Contract_Register!$T$24,Assumptions!$C$90)=0,1+Assumptions!$F$180,1),1))</f>
        <v>1.02600059916117</v>
      </c>
      <c r="K102" s="107" t="n">
        <f aca="false">IF(K$5="A",IF((Inputs_Actuals!K26*Contract_Register!$K$24+Inputs_Actuals!K59*Contract_Register!$L$24)=0,0,Inputs_Actuals!K92/(Inputs_Actuals!K26*Contract_Register!$K$24+Inputs_Actuals!K59*Contract_Register!$L$24)),J102*IF(AND(Assumptions!K$201&gt;Contract_Register!$T$24,MOD(Assumptions!K$201-Contract_Register!$T$24,12)=0),(1+Assumptions!$F$179)*IF(MOD(Assumptions!K$201-Contract_Register!$T$24,Assumptions!$C$90)=0,1+Assumptions!$F$180,1),1))</f>
        <v>1.02600059916117</v>
      </c>
      <c r="L102" s="107" t="n">
        <f aca="false">IF(L$5="A",IF((Inputs_Actuals!L26*Contract_Register!$K$24+Inputs_Actuals!L59*Contract_Register!$L$24)=0,0,Inputs_Actuals!L92/(Inputs_Actuals!L26*Contract_Register!$K$24+Inputs_Actuals!L59*Contract_Register!$L$24)),K102*IF(AND(Assumptions!L$201&gt;Contract_Register!$T$24,MOD(Assumptions!L$201-Contract_Register!$T$24,12)=0),(1+Assumptions!$F$179)*IF(MOD(Assumptions!L$201-Contract_Register!$T$24,Assumptions!$C$90)=0,1+Assumptions!$F$180,1),1))</f>
        <v>1.02600059916117</v>
      </c>
      <c r="M102" s="107" t="n">
        <f aca="false">IF(M$5="A",IF((Inputs_Actuals!M26*Contract_Register!$K$24+Inputs_Actuals!M59*Contract_Register!$L$24)=0,0,Inputs_Actuals!M92/(Inputs_Actuals!M26*Contract_Register!$K$24+Inputs_Actuals!M59*Contract_Register!$L$24)),L102*IF(AND(Assumptions!M$201&gt;Contract_Register!$T$24,MOD(Assumptions!M$201-Contract_Register!$T$24,12)=0),(1+Assumptions!$F$179)*IF(MOD(Assumptions!M$201-Contract_Register!$T$24,Assumptions!$C$90)=0,1+Assumptions!$F$180,1),1))</f>
        <v>1.02600059916117</v>
      </c>
      <c r="N102" s="107" t="n">
        <f aca="false">IF(N$5="A",IF((Inputs_Actuals!N26*Contract_Register!$K$24+Inputs_Actuals!N59*Contract_Register!$L$24)=0,0,Inputs_Actuals!N92/(Inputs_Actuals!N26*Contract_Register!$K$24+Inputs_Actuals!N59*Contract_Register!$L$24)),M102*IF(AND(Assumptions!N$201&gt;Contract_Register!$T$24,MOD(Assumptions!N$201-Contract_Register!$T$24,12)=0),(1+Assumptions!$F$179)*IF(MOD(Assumptions!N$201-Contract_Register!$T$24,Assumptions!$C$90)=0,1+Assumptions!$F$180,1),1))</f>
        <v>1.02600059916117</v>
      </c>
      <c r="O102" s="107" t="n">
        <f aca="false">IF(O$5="A",IF((Inputs_Actuals!O26*Contract_Register!$K$24+Inputs_Actuals!O59*Contract_Register!$L$24)=0,0,Inputs_Actuals!O92/(Inputs_Actuals!O26*Contract_Register!$K$24+Inputs_Actuals!O59*Contract_Register!$L$24)),N102*IF(AND(Assumptions!O$201&gt;Contract_Register!$T$24,MOD(Assumptions!O$201-Contract_Register!$T$24,12)=0),(1+Assumptions!$F$179)*IF(MOD(Assumptions!O$201-Contract_Register!$T$24,Assumptions!$C$90)=0,1+Assumptions!$F$180,1),1))</f>
        <v>1.02600059916117</v>
      </c>
      <c r="P102" s="107" t="n">
        <f aca="false">IF(P$5="A",IF((Inputs_Actuals!P26*Contract_Register!$K$24+Inputs_Actuals!P59*Contract_Register!$L$24)=0,0,Inputs_Actuals!P92/(Inputs_Actuals!P26*Contract_Register!$K$24+Inputs_Actuals!P59*Contract_Register!$L$24)),O102*IF(AND(Assumptions!P$201&gt;Contract_Register!$T$24,MOD(Assumptions!P$201-Contract_Register!$T$24,12)=0),(1+Assumptions!$F$179)*IF(MOD(Assumptions!P$201-Contract_Register!$T$24,Assumptions!$C$90)=0,1+Assumptions!$F$180,1),1))</f>
        <v>1.02600059916117</v>
      </c>
      <c r="Q102" s="107" t="n">
        <f aca="false">IF(Q$5="A",IF((Inputs_Actuals!Q26*Contract_Register!$K$24+Inputs_Actuals!Q59*Contract_Register!$L$24)=0,0,Inputs_Actuals!Q92/(Inputs_Actuals!Q26*Contract_Register!$K$24+Inputs_Actuals!Q59*Contract_Register!$L$24)),P102*IF(AND(Assumptions!Q$201&gt;Contract_Register!$T$24,MOD(Assumptions!Q$201-Contract_Register!$T$24,12)=0),(1+Assumptions!$F$179)*IF(MOD(Assumptions!Q$201-Contract_Register!$T$24,Assumptions!$C$90)=0,1+Assumptions!$F$180,1),1))</f>
        <v>1.02600059916117</v>
      </c>
      <c r="R102" s="107" t="n">
        <f aca="false">IF(R$5="A",IF((Inputs_Actuals!R26*Contract_Register!$K$24+Inputs_Actuals!R59*Contract_Register!$L$24)=0,0,Inputs_Actuals!R92/(Inputs_Actuals!R26*Contract_Register!$K$24+Inputs_Actuals!R59*Contract_Register!$L$24)),Q102*IF(AND(Assumptions!R$201&gt;Contract_Register!$T$24,MOD(Assumptions!R$201-Contract_Register!$T$24,12)=0),(1+Assumptions!$F$179)*IF(MOD(Assumptions!R$201-Contract_Register!$T$24,Assumptions!$C$90)=0,1+Assumptions!$F$180,1),1))</f>
        <v>1.02600059916117</v>
      </c>
      <c r="S102" s="107" t="n">
        <f aca="false">IF(S$5="A",IF((Inputs_Actuals!S26*Contract_Register!$K$24+Inputs_Actuals!S59*Contract_Register!$L$24)=0,0,Inputs_Actuals!S92/(Inputs_Actuals!S26*Contract_Register!$K$24+Inputs_Actuals!S59*Contract_Register!$L$24)),R102*IF(AND(Assumptions!S$201&gt;Contract_Register!$T$24,MOD(Assumptions!S$201-Contract_Register!$T$24,12)=0),(1+Assumptions!$F$179)*IF(MOD(Assumptions!S$201-Contract_Register!$T$24,Assumptions!$C$90)=0,1+Assumptions!$F$180,1),1))</f>
        <v>1.02600059916117</v>
      </c>
      <c r="T102" s="107" t="n">
        <f aca="false">IF(T$5="A",IF((Inputs_Actuals!T26*Contract_Register!$K$24+Inputs_Actuals!T59*Contract_Register!$L$24)=0,0,Inputs_Actuals!T92/(Inputs_Actuals!T26*Contract_Register!$K$24+Inputs_Actuals!T59*Contract_Register!$L$24)),S102*IF(AND(Assumptions!T$201&gt;Contract_Register!$T$24,MOD(Assumptions!T$201-Contract_Register!$T$24,12)=0),(1+Assumptions!$F$179)*IF(MOD(Assumptions!T$201-Contract_Register!$T$24,Assumptions!$C$90)=0,1+Assumptions!$F$180,1),1))</f>
        <v>1.02600059916117</v>
      </c>
      <c r="U102" s="107" t="n">
        <f aca="false">IF(U$5="A",IF((Inputs_Actuals!U26*Contract_Register!$K$24+Inputs_Actuals!U59*Contract_Register!$L$24)=0,0,Inputs_Actuals!U92/(Inputs_Actuals!U26*Contract_Register!$K$24+Inputs_Actuals!U59*Contract_Register!$L$24)),T102*IF(AND(Assumptions!U$201&gt;Contract_Register!$T$24,MOD(Assumptions!U$201-Contract_Register!$T$24,12)=0),(1+Assumptions!$F$179)*IF(MOD(Assumptions!U$201-Contract_Register!$T$24,Assumptions!$C$90)=0,1+Assumptions!$F$180,1),1))</f>
        <v>1.02600059916117</v>
      </c>
      <c r="V102" s="107" t="n">
        <f aca="false">IF(V$5="A",IF((Inputs_Actuals!V26*Contract_Register!$K$24+Inputs_Actuals!V59*Contract_Register!$L$24)=0,0,Inputs_Actuals!V92/(Inputs_Actuals!V26*Contract_Register!$K$24+Inputs_Actuals!V59*Contract_Register!$L$24)),U102*IF(AND(Assumptions!V$201&gt;Contract_Register!$T$24,MOD(Assumptions!V$201-Contract_Register!$T$24,12)=0),(1+Assumptions!$F$179)*IF(MOD(Assumptions!V$201-Contract_Register!$T$24,Assumptions!$C$90)=0,1+Assumptions!$F$180,1),1))</f>
        <v>1.05678061713601</v>
      </c>
      <c r="W102" s="107" t="n">
        <f aca="false">IF(W$5="A",IF((Inputs_Actuals!W26*Contract_Register!$K$24+Inputs_Actuals!W59*Contract_Register!$L$24)=0,0,Inputs_Actuals!W92/(Inputs_Actuals!W26*Contract_Register!$K$24+Inputs_Actuals!W59*Contract_Register!$L$24)),V102*IF(AND(Assumptions!W$201&gt;Contract_Register!$T$24,MOD(Assumptions!W$201-Contract_Register!$T$24,12)=0),(1+Assumptions!$F$179)*IF(MOD(Assumptions!W$201-Contract_Register!$T$24,Assumptions!$C$90)=0,1+Assumptions!$F$180,1),1))</f>
        <v>1.05678061713601</v>
      </c>
      <c r="X102" s="107" t="n">
        <f aca="false">IF(X$5="A",IF((Inputs_Actuals!X26*Contract_Register!$K$24+Inputs_Actuals!X59*Contract_Register!$L$24)=0,0,Inputs_Actuals!X92/(Inputs_Actuals!X26*Contract_Register!$K$24+Inputs_Actuals!X59*Contract_Register!$L$24)),W102*IF(AND(Assumptions!X$201&gt;Contract_Register!$T$24,MOD(Assumptions!X$201-Contract_Register!$T$24,12)=0),(1+Assumptions!$F$179)*IF(MOD(Assumptions!X$201-Contract_Register!$T$24,Assumptions!$C$90)=0,1+Assumptions!$F$180,1),1))</f>
        <v>1.05678061713601</v>
      </c>
      <c r="Y102" s="107" t="n">
        <f aca="false">IF(Y$5="A",IF((Inputs_Actuals!Y26*Contract_Register!$K$24+Inputs_Actuals!Y59*Contract_Register!$L$24)=0,0,Inputs_Actuals!Y92/(Inputs_Actuals!Y26*Contract_Register!$K$24+Inputs_Actuals!Y59*Contract_Register!$L$24)),X102*IF(AND(Assumptions!Y$201&gt;Contract_Register!$T$24,MOD(Assumptions!Y$201-Contract_Register!$T$24,12)=0),(1+Assumptions!$F$179)*IF(MOD(Assumptions!Y$201-Contract_Register!$T$24,Assumptions!$C$90)=0,1+Assumptions!$F$180,1),1))</f>
        <v>1.05678061713601</v>
      </c>
      <c r="Z102" s="107" t="n">
        <f aca="false">IF(Z$5="A",IF((Inputs_Actuals!Z26*Contract_Register!$K$24+Inputs_Actuals!Z59*Contract_Register!$L$24)=0,0,Inputs_Actuals!Z92/(Inputs_Actuals!Z26*Contract_Register!$K$24+Inputs_Actuals!Z59*Contract_Register!$L$24)),Y102*IF(AND(Assumptions!Z$201&gt;Contract_Register!$T$24,MOD(Assumptions!Z$201-Contract_Register!$T$24,12)=0),(1+Assumptions!$F$179)*IF(MOD(Assumptions!Z$201-Contract_Register!$T$24,Assumptions!$C$90)=0,1+Assumptions!$F$180,1),1))</f>
        <v>1.05678061713601</v>
      </c>
      <c r="AA102" s="107" t="n">
        <f aca="false">IF(AA$5="A",IF((Inputs_Actuals!AA26*Contract_Register!$K$24+Inputs_Actuals!AA59*Contract_Register!$L$24)=0,0,Inputs_Actuals!AA92/(Inputs_Actuals!AA26*Contract_Register!$K$24+Inputs_Actuals!AA59*Contract_Register!$L$24)),Z102*IF(AND(Assumptions!AA$201&gt;Contract_Register!$T$24,MOD(Assumptions!AA$201-Contract_Register!$T$24,12)=0),(1+Assumptions!$F$179)*IF(MOD(Assumptions!AA$201-Contract_Register!$T$24,Assumptions!$C$90)=0,1+Assumptions!$F$180,1),1))</f>
        <v>1.05678061713601</v>
      </c>
      <c r="AB102" s="107" t="n">
        <f aca="false">IF(AB$5="A",IF((Inputs_Actuals!AB26*Contract_Register!$K$24+Inputs_Actuals!AB59*Contract_Register!$L$24)=0,0,Inputs_Actuals!AB92/(Inputs_Actuals!AB26*Contract_Register!$K$24+Inputs_Actuals!AB59*Contract_Register!$L$24)),AA102*IF(AND(Assumptions!AB$201&gt;Contract_Register!$T$24,MOD(Assumptions!AB$201-Contract_Register!$T$24,12)=0),(1+Assumptions!$F$179)*IF(MOD(Assumptions!AB$201-Contract_Register!$T$24,Assumptions!$C$90)=0,1+Assumptions!$F$180,1),1))</f>
        <v>1.05678061713601</v>
      </c>
    </row>
    <row r="103" customFormat="false" ht="15" hidden="false" customHeight="false" outlineLevel="0" collapsed="false">
      <c r="A103" s="27" t="s">
        <v>831</v>
      </c>
      <c r="B103" s="63" t="s">
        <v>851</v>
      </c>
      <c r="C103" s="121" t="n">
        <f aca="false">P103</f>
        <v>1.02600050851767</v>
      </c>
      <c r="D103" s="121" t="n">
        <f aca="false">AB103</f>
        <v>1.0567805237732</v>
      </c>
      <c r="E103" s="107" t="n">
        <f aca="false">IF(E$5="A",IF((Inputs_Actuals!E27*Contract_Register!$K$25+Inputs_Actuals!E60*Contract_Register!$L$25)=0,0,Inputs_Actuals!E93/(Inputs_Actuals!E27*Contract_Register!$K$25+Inputs_Actuals!E60*Contract_Register!$L$25)),1*IF(AND(Assumptions!E$201&gt;Contract_Register!$T$25,MOD(Assumptions!E$201-Contract_Register!$T$25,12)=0),(1+Assumptions!$F$179)*IF(MOD(Assumptions!E$201-Contract_Register!$T$25,Assumptions!$C$90)=0,1+Assumptions!$F$180,1),1))</f>
        <v>1</v>
      </c>
      <c r="F103" s="107" t="n">
        <f aca="false">IF(F$5="A",IF((Inputs_Actuals!F27*Contract_Register!$K$25+Inputs_Actuals!F60*Contract_Register!$L$25)=0,0,Inputs_Actuals!F93/(Inputs_Actuals!F27*Contract_Register!$K$25+Inputs_Actuals!F60*Contract_Register!$L$25)),E103*IF(AND(Assumptions!F$201&gt;Contract_Register!$T$25,MOD(Assumptions!F$201-Contract_Register!$T$25,12)=0),(1+Assumptions!$F$179)*IF(MOD(Assumptions!F$201-Contract_Register!$T$25,Assumptions!$C$90)=0,1+Assumptions!$F$180,1),1))</f>
        <v>1.026</v>
      </c>
      <c r="G103" s="107" t="n">
        <f aca="false">IF(G$5="A",IF((Inputs_Actuals!G27*Contract_Register!$K$25+Inputs_Actuals!G60*Contract_Register!$L$25)=0,0,Inputs_Actuals!G93/(Inputs_Actuals!G27*Contract_Register!$K$25+Inputs_Actuals!G60*Contract_Register!$L$25)),F103*IF(AND(Assumptions!G$201&gt;Contract_Register!$T$25,MOD(Assumptions!G$201-Contract_Register!$T$25,12)=0),(1+Assumptions!$F$179)*IF(MOD(Assumptions!G$201-Contract_Register!$T$25,Assumptions!$C$90)=0,1+Assumptions!$F$180,1),1))</f>
        <v>1.026</v>
      </c>
      <c r="H103" s="107" t="n">
        <f aca="false">IF(H$5="A",IF((Inputs_Actuals!H27*Contract_Register!$K$25+Inputs_Actuals!H60*Contract_Register!$L$25)=0,0,Inputs_Actuals!H93/(Inputs_Actuals!H27*Contract_Register!$K$25+Inputs_Actuals!H60*Contract_Register!$L$25)),G103*IF(AND(Assumptions!H$201&gt;Contract_Register!$T$25,MOD(Assumptions!H$201-Contract_Register!$T$25,12)=0),(1+Assumptions!$F$179)*IF(MOD(Assumptions!H$201-Contract_Register!$T$25,Assumptions!$C$90)=0,1+Assumptions!$F$180,1),1))</f>
        <v>1.026</v>
      </c>
      <c r="I103" s="107" t="n">
        <f aca="false">IF(I$5="A",IF((Inputs_Actuals!I27*Contract_Register!$K$25+Inputs_Actuals!I60*Contract_Register!$L$25)=0,0,Inputs_Actuals!I93/(Inputs_Actuals!I27*Contract_Register!$K$25+Inputs_Actuals!I60*Contract_Register!$L$25)),H103*IF(AND(Assumptions!I$201&gt;Contract_Register!$T$25,MOD(Assumptions!I$201-Contract_Register!$T$25,12)=0),(1+Assumptions!$F$179)*IF(MOD(Assumptions!I$201-Contract_Register!$T$25,Assumptions!$C$90)=0,1+Assumptions!$F$180,1),1))</f>
        <v>1.0260002554931</v>
      </c>
      <c r="J103" s="107" t="n">
        <f aca="false">IF(J$5="A",IF((Inputs_Actuals!J27*Contract_Register!$K$25+Inputs_Actuals!J60*Contract_Register!$L$25)=0,0,Inputs_Actuals!J93/(Inputs_Actuals!J27*Contract_Register!$K$25+Inputs_Actuals!J60*Contract_Register!$L$25)),I103*IF(AND(Assumptions!J$201&gt;Contract_Register!$T$25,MOD(Assumptions!J$201-Contract_Register!$T$25,12)=0),(1+Assumptions!$F$179)*IF(MOD(Assumptions!J$201-Contract_Register!$T$25,Assumptions!$C$90)=0,1+Assumptions!$F$180,1),1))</f>
        <v>1.0260002554931</v>
      </c>
      <c r="K103" s="107" t="n">
        <f aca="false">IF(K$5="A",IF((Inputs_Actuals!K27*Contract_Register!$K$25+Inputs_Actuals!K60*Contract_Register!$L$25)=0,0,Inputs_Actuals!K93/(Inputs_Actuals!K27*Contract_Register!$K$25+Inputs_Actuals!K60*Contract_Register!$L$25)),J103*IF(AND(Assumptions!K$201&gt;Contract_Register!$T$25,MOD(Assumptions!K$201-Contract_Register!$T$25,12)=0),(1+Assumptions!$F$179)*IF(MOD(Assumptions!K$201-Contract_Register!$T$25,Assumptions!$C$90)=0,1+Assumptions!$F$180,1),1))</f>
        <v>1.02600050851767</v>
      </c>
      <c r="L103" s="107" t="n">
        <f aca="false">IF(L$5="A",IF((Inputs_Actuals!L27*Contract_Register!$K$25+Inputs_Actuals!L60*Contract_Register!$L$25)=0,0,Inputs_Actuals!L93/(Inputs_Actuals!L27*Contract_Register!$K$25+Inputs_Actuals!L60*Contract_Register!$L$25)),K103*IF(AND(Assumptions!L$201&gt;Contract_Register!$T$25,MOD(Assumptions!L$201-Contract_Register!$T$25,12)=0),(1+Assumptions!$F$179)*IF(MOD(Assumptions!L$201-Contract_Register!$T$25,Assumptions!$C$90)=0,1+Assumptions!$F$180,1),1))</f>
        <v>1.02600050851767</v>
      </c>
      <c r="M103" s="107" t="n">
        <f aca="false">IF(M$5="A",IF((Inputs_Actuals!M27*Contract_Register!$K$25+Inputs_Actuals!M60*Contract_Register!$L$25)=0,0,Inputs_Actuals!M93/(Inputs_Actuals!M27*Contract_Register!$K$25+Inputs_Actuals!M60*Contract_Register!$L$25)),L103*IF(AND(Assumptions!M$201&gt;Contract_Register!$T$25,MOD(Assumptions!M$201-Contract_Register!$T$25,12)=0),(1+Assumptions!$F$179)*IF(MOD(Assumptions!M$201-Contract_Register!$T$25,Assumptions!$C$90)=0,1+Assumptions!$F$180,1),1))</f>
        <v>1.02600050851767</v>
      </c>
      <c r="N103" s="107" t="n">
        <f aca="false">IF(N$5="A",IF((Inputs_Actuals!N27*Contract_Register!$K$25+Inputs_Actuals!N60*Contract_Register!$L$25)=0,0,Inputs_Actuals!N93/(Inputs_Actuals!N27*Contract_Register!$K$25+Inputs_Actuals!N60*Contract_Register!$L$25)),M103*IF(AND(Assumptions!N$201&gt;Contract_Register!$T$25,MOD(Assumptions!N$201-Contract_Register!$T$25,12)=0),(1+Assumptions!$F$179)*IF(MOD(Assumptions!N$201-Contract_Register!$T$25,Assumptions!$C$90)=0,1+Assumptions!$F$180,1),1))</f>
        <v>1.02600050851767</v>
      </c>
      <c r="O103" s="107" t="n">
        <f aca="false">IF(O$5="A",IF((Inputs_Actuals!O27*Contract_Register!$K$25+Inputs_Actuals!O60*Contract_Register!$L$25)=0,0,Inputs_Actuals!O93/(Inputs_Actuals!O27*Contract_Register!$K$25+Inputs_Actuals!O60*Contract_Register!$L$25)),N103*IF(AND(Assumptions!O$201&gt;Contract_Register!$T$25,MOD(Assumptions!O$201-Contract_Register!$T$25,12)=0),(1+Assumptions!$F$179)*IF(MOD(Assumptions!O$201-Contract_Register!$T$25,Assumptions!$C$90)=0,1+Assumptions!$F$180,1),1))</f>
        <v>1.02600050851767</v>
      </c>
      <c r="P103" s="107" t="n">
        <f aca="false">IF(P$5="A",IF((Inputs_Actuals!P27*Contract_Register!$K$25+Inputs_Actuals!P60*Contract_Register!$L$25)=0,0,Inputs_Actuals!P93/(Inputs_Actuals!P27*Contract_Register!$K$25+Inputs_Actuals!P60*Contract_Register!$L$25)),O103*IF(AND(Assumptions!P$201&gt;Contract_Register!$T$25,MOD(Assumptions!P$201-Contract_Register!$T$25,12)=0),(1+Assumptions!$F$179)*IF(MOD(Assumptions!P$201-Contract_Register!$T$25,Assumptions!$C$90)=0,1+Assumptions!$F$180,1),1))</f>
        <v>1.02600050851767</v>
      </c>
      <c r="Q103" s="107" t="n">
        <f aca="false">IF(Q$5="A",IF((Inputs_Actuals!Q27*Contract_Register!$K$25+Inputs_Actuals!Q60*Contract_Register!$L$25)=0,0,Inputs_Actuals!Q93/(Inputs_Actuals!Q27*Contract_Register!$K$25+Inputs_Actuals!Q60*Contract_Register!$L$25)),P103*IF(AND(Assumptions!Q$201&gt;Contract_Register!$T$25,MOD(Assumptions!Q$201-Contract_Register!$T$25,12)=0),(1+Assumptions!$F$179)*IF(MOD(Assumptions!Q$201-Contract_Register!$T$25,Assumptions!$C$90)=0,1+Assumptions!$F$180,1),1))</f>
        <v>1.02600050851767</v>
      </c>
      <c r="R103" s="107" t="n">
        <f aca="false">IF(R$5="A",IF((Inputs_Actuals!R27*Contract_Register!$K$25+Inputs_Actuals!R60*Contract_Register!$L$25)=0,0,Inputs_Actuals!R93/(Inputs_Actuals!R27*Contract_Register!$K$25+Inputs_Actuals!R60*Contract_Register!$L$25)),Q103*IF(AND(Assumptions!R$201&gt;Contract_Register!$T$25,MOD(Assumptions!R$201-Contract_Register!$T$25,12)=0),(1+Assumptions!$F$179)*IF(MOD(Assumptions!R$201-Contract_Register!$T$25,Assumptions!$C$90)=0,1+Assumptions!$F$180,1),1))</f>
        <v>1.0567805237732</v>
      </c>
      <c r="S103" s="107" t="n">
        <f aca="false">IF(S$5="A",IF((Inputs_Actuals!S27*Contract_Register!$K$25+Inputs_Actuals!S60*Contract_Register!$L$25)=0,0,Inputs_Actuals!S93/(Inputs_Actuals!S27*Contract_Register!$K$25+Inputs_Actuals!S60*Contract_Register!$L$25)),R103*IF(AND(Assumptions!S$201&gt;Contract_Register!$T$25,MOD(Assumptions!S$201-Contract_Register!$T$25,12)=0),(1+Assumptions!$F$179)*IF(MOD(Assumptions!S$201-Contract_Register!$T$25,Assumptions!$C$90)=0,1+Assumptions!$F$180,1),1))</f>
        <v>1.0567805237732</v>
      </c>
      <c r="T103" s="107" t="n">
        <f aca="false">IF(T$5="A",IF((Inputs_Actuals!T27*Contract_Register!$K$25+Inputs_Actuals!T60*Contract_Register!$L$25)=0,0,Inputs_Actuals!T93/(Inputs_Actuals!T27*Contract_Register!$K$25+Inputs_Actuals!T60*Contract_Register!$L$25)),S103*IF(AND(Assumptions!T$201&gt;Contract_Register!$T$25,MOD(Assumptions!T$201-Contract_Register!$T$25,12)=0),(1+Assumptions!$F$179)*IF(MOD(Assumptions!T$201-Contract_Register!$T$25,Assumptions!$C$90)=0,1+Assumptions!$F$180,1),1))</f>
        <v>1.0567805237732</v>
      </c>
      <c r="U103" s="107" t="n">
        <f aca="false">IF(U$5="A",IF((Inputs_Actuals!U27*Contract_Register!$K$25+Inputs_Actuals!U60*Contract_Register!$L$25)=0,0,Inputs_Actuals!U93/(Inputs_Actuals!U27*Contract_Register!$K$25+Inputs_Actuals!U60*Contract_Register!$L$25)),T103*IF(AND(Assumptions!U$201&gt;Contract_Register!$T$25,MOD(Assumptions!U$201-Contract_Register!$T$25,12)=0),(1+Assumptions!$F$179)*IF(MOD(Assumptions!U$201-Contract_Register!$T$25,Assumptions!$C$90)=0,1+Assumptions!$F$180,1),1))</f>
        <v>1.0567805237732</v>
      </c>
      <c r="V103" s="107" t="n">
        <f aca="false">IF(V$5="A",IF((Inputs_Actuals!V27*Contract_Register!$K$25+Inputs_Actuals!V60*Contract_Register!$L$25)=0,0,Inputs_Actuals!V93/(Inputs_Actuals!V27*Contract_Register!$K$25+Inputs_Actuals!V60*Contract_Register!$L$25)),U103*IF(AND(Assumptions!V$201&gt;Contract_Register!$T$25,MOD(Assumptions!V$201-Contract_Register!$T$25,12)=0),(1+Assumptions!$F$179)*IF(MOD(Assumptions!V$201-Contract_Register!$T$25,Assumptions!$C$90)=0,1+Assumptions!$F$180,1),1))</f>
        <v>1.0567805237732</v>
      </c>
      <c r="W103" s="107" t="n">
        <f aca="false">IF(W$5="A",IF((Inputs_Actuals!W27*Contract_Register!$K$25+Inputs_Actuals!W60*Contract_Register!$L$25)=0,0,Inputs_Actuals!W93/(Inputs_Actuals!W27*Contract_Register!$K$25+Inputs_Actuals!W60*Contract_Register!$L$25)),V103*IF(AND(Assumptions!W$201&gt;Contract_Register!$T$25,MOD(Assumptions!W$201-Contract_Register!$T$25,12)=0),(1+Assumptions!$F$179)*IF(MOD(Assumptions!W$201-Contract_Register!$T$25,Assumptions!$C$90)=0,1+Assumptions!$F$180,1),1))</f>
        <v>1.0567805237732</v>
      </c>
      <c r="X103" s="107" t="n">
        <f aca="false">IF(X$5="A",IF((Inputs_Actuals!X27*Contract_Register!$K$25+Inputs_Actuals!X60*Contract_Register!$L$25)=0,0,Inputs_Actuals!X93/(Inputs_Actuals!X27*Contract_Register!$K$25+Inputs_Actuals!X60*Contract_Register!$L$25)),W103*IF(AND(Assumptions!X$201&gt;Contract_Register!$T$25,MOD(Assumptions!X$201-Contract_Register!$T$25,12)=0),(1+Assumptions!$F$179)*IF(MOD(Assumptions!X$201-Contract_Register!$T$25,Assumptions!$C$90)=0,1+Assumptions!$F$180,1),1))</f>
        <v>1.0567805237732</v>
      </c>
      <c r="Y103" s="107" t="n">
        <f aca="false">IF(Y$5="A",IF((Inputs_Actuals!Y27*Contract_Register!$K$25+Inputs_Actuals!Y60*Contract_Register!$L$25)=0,0,Inputs_Actuals!Y93/(Inputs_Actuals!Y27*Contract_Register!$K$25+Inputs_Actuals!Y60*Contract_Register!$L$25)),X103*IF(AND(Assumptions!Y$201&gt;Contract_Register!$T$25,MOD(Assumptions!Y$201-Contract_Register!$T$25,12)=0),(1+Assumptions!$F$179)*IF(MOD(Assumptions!Y$201-Contract_Register!$T$25,Assumptions!$C$90)=0,1+Assumptions!$F$180,1),1))</f>
        <v>1.0567805237732</v>
      </c>
      <c r="Z103" s="107" t="n">
        <f aca="false">IF(Z$5="A",IF((Inputs_Actuals!Z27*Contract_Register!$K$25+Inputs_Actuals!Z60*Contract_Register!$L$25)=0,0,Inputs_Actuals!Z93/(Inputs_Actuals!Z27*Contract_Register!$K$25+Inputs_Actuals!Z60*Contract_Register!$L$25)),Y103*IF(AND(Assumptions!Z$201&gt;Contract_Register!$T$25,MOD(Assumptions!Z$201-Contract_Register!$T$25,12)=0),(1+Assumptions!$F$179)*IF(MOD(Assumptions!Z$201-Contract_Register!$T$25,Assumptions!$C$90)=0,1+Assumptions!$F$180,1),1))</f>
        <v>1.0567805237732</v>
      </c>
      <c r="AA103" s="107" t="n">
        <f aca="false">IF(AA$5="A",IF((Inputs_Actuals!AA27*Contract_Register!$K$25+Inputs_Actuals!AA60*Contract_Register!$L$25)=0,0,Inputs_Actuals!AA93/(Inputs_Actuals!AA27*Contract_Register!$K$25+Inputs_Actuals!AA60*Contract_Register!$L$25)),Z103*IF(AND(Assumptions!AA$201&gt;Contract_Register!$T$25,MOD(Assumptions!AA$201-Contract_Register!$T$25,12)=0),(1+Assumptions!$F$179)*IF(MOD(Assumptions!AA$201-Contract_Register!$T$25,Assumptions!$C$90)=0,1+Assumptions!$F$180,1),1))</f>
        <v>1.0567805237732</v>
      </c>
      <c r="AB103" s="107" t="n">
        <f aca="false">IF(AB$5="A",IF((Inputs_Actuals!AB27*Contract_Register!$K$25+Inputs_Actuals!AB60*Contract_Register!$L$25)=0,0,Inputs_Actuals!AB93/(Inputs_Actuals!AB27*Contract_Register!$K$25+Inputs_Actuals!AB60*Contract_Register!$L$25)),AA103*IF(AND(Assumptions!AB$201&gt;Contract_Register!$T$25,MOD(Assumptions!AB$201-Contract_Register!$T$25,12)=0),(1+Assumptions!$F$179)*IF(MOD(Assumptions!AB$201-Contract_Register!$T$25,Assumptions!$C$90)=0,1+Assumptions!$F$180,1),1))</f>
        <v>1.0567805237732</v>
      </c>
    </row>
    <row r="104" customFormat="false" ht="15" hidden="false" customHeight="false" outlineLevel="0" collapsed="false">
      <c r="A104" s="27" t="s">
        <v>832</v>
      </c>
      <c r="B104" s="63" t="s">
        <v>851</v>
      </c>
      <c r="C104" s="121" t="n">
        <f aca="false">P104</f>
        <v>1.02599972647702</v>
      </c>
      <c r="D104" s="121" t="n">
        <f aca="false">AB104</f>
        <v>1.05677971827133</v>
      </c>
      <c r="E104" s="107" t="n">
        <f aca="false">IF(E$5="A",IF((Inputs_Actuals!E28*Contract_Register!$K$26+Inputs_Actuals!E61*Contract_Register!$L$26)=0,0,Inputs_Actuals!E94/(Inputs_Actuals!E28*Contract_Register!$K$26+Inputs_Actuals!E61*Contract_Register!$L$26)),1*IF(AND(Assumptions!E$201&gt;Contract_Register!$T$26,MOD(Assumptions!E$201-Contract_Register!$T$26,12)=0),(1+Assumptions!$F$179)*IF(MOD(Assumptions!E$201-Contract_Register!$T$26,Assumptions!$C$90)=0,1+Assumptions!$F$180,1),1))</f>
        <v>1.026</v>
      </c>
      <c r="F104" s="107" t="n">
        <f aca="false">IF(F$5="A",IF((Inputs_Actuals!F28*Contract_Register!$K$26+Inputs_Actuals!F61*Contract_Register!$L$26)=0,0,Inputs_Actuals!F94/(Inputs_Actuals!F28*Contract_Register!$K$26+Inputs_Actuals!F61*Contract_Register!$L$26)),E104*IF(AND(Assumptions!F$201&gt;Contract_Register!$T$26,MOD(Assumptions!F$201-Contract_Register!$T$26,12)=0),(1+Assumptions!$F$179)*IF(MOD(Assumptions!F$201-Contract_Register!$T$26,Assumptions!$C$90)=0,1+Assumptions!$F$180,1),1))</f>
        <v>1.02599944705557</v>
      </c>
      <c r="G104" s="107" t="n">
        <f aca="false">IF(G$5="A",IF((Inputs_Actuals!G28*Contract_Register!$K$26+Inputs_Actuals!G61*Contract_Register!$L$26)=0,0,Inputs_Actuals!G94/(Inputs_Actuals!G28*Contract_Register!$K$26+Inputs_Actuals!G61*Contract_Register!$L$26)),F104*IF(AND(Assumptions!G$201&gt;Contract_Register!$T$26,MOD(Assumptions!G$201-Contract_Register!$T$26,12)=0),(1+Assumptions!$F$179)*IF(MOD(Assumptions!G$201-Contract_Register!$T$26,Assumptions!$C$90)=0,1+Assumptions!$F$180,1),1))</f>
        <v>1.02599944705557</v>
      </c>
      <c r="H104" s="107" t="n">
        <f aca="false">IF(H$5="A",IF((Inputs_Actuals!H28*Contract_Register!$K$26+Inputs_Actuals!H61*Contract_Register!$L$26)=0,0,Inputs_Actuals!H94/(Inputs_Actuals!H28*Contract_Register!$K$26+Inputs_Actuals!H61*Contract_Register!$L$26)),G104*IF(AND(Assumptions!H$201&gt;Contract_Register!$T$26,MOD(Assumptions!H$201-Contract_Register!$T$26,12)=0),(1+Assumptions!$F$179)*IF(MOD(Assumptions!H$201-Contract_Register!$T$26,Assumptions!$C$90)=0,1+Assumptions!$F$180,1),1))</f>
        <v>1.02600027498969</v>
      </c>
      <c r="I104" s="107" t="n">
        <f aca="false">IF(I$5="A",IF((Inputs_Actuals!I28*Contract_Register!$K$26+Inputs_Actuals!I61*Contract_Register!$L$26)=0,0,Inputs_Actuals!I94/(Inputs_Actuals!I28*Contract_Register!$K$26+Inputs_Actuals!I61*Contract_Register!$L$26)),H104*IF(AND(Assumptions!I$201&gt;Contract_Register!$T$26,MOD(Assumptions!I$201-Contract_Register!$T$26,12)=0),(1+Assumptions!$F$179)*IF(MOD(Assumptions!I$201-Contract_Register!$T$26,Assumptions!$C$90)=0,1+Assumptions!$F$180,1),1))</f>
        <v>1.02600027498969</v>
      </c>
      <c r="J104" s="107" t="n">
        <f aca="false">IF(J$5="A",IF((Inputs_Actuals!J28*Contract_Register!$K$26+Inputs_Actuals!J61*Contract_Register!$L$26)=0,0,Inputs_Actuals!J94/(Inputs_Actuals!J28*Contract_Register!$K$26+Inputs_Actuals!J61*Contract_Register!$L$26)),I104*IF(AND(Assumptions!J$201&gt;Contract_Register!$T$26,MOD(Assumptions!J$201-Contract_Register!$T$26,12)=0),(1+Assumptions!$F$179)*IF(MOD(Assumptions!J$201-Contract_Register!$T$26,Assumptions!$C$90)=0,1+Assumptions!$F$180,1),1))</f>
        <v>1.02600027498969</v>
      </c>
      <c r="K104" s="107" t="n">
        <f aca="false">IF(K$5="A",IF((Inputs_Actuals!K28*Contract_Register!$K$26+Inputs_Actuals!K61*Contract_Register!$L$26)=0,0,Inputs_Actuals!K94/(Inputs_Actuals!K28*Contract_Register!$K$26+Inputs_Actuals!K61*Contract_Register!$L$26)),J104*IF(AND(Assumptions!K$201&gt;Contract_Register!$T$26,MOD(Assumptions!K$201-Contract_Register!$T$26,12)=0),(1+Assumptions!$F$179)*IF(MOD(Assumptions!K$201-Contract_Register!$T$26,Assumptions!$C$90)=0,1+Assumptions!$F$180,1),1))</f>
        <v>1.02599972647702</v>
      </c>
      <c r="L104" s="107" t="n">
        <f aca="false">IF(L$5="A",IF((Inputs_Actuals!L28*Contract_Register!$K$26+Inputs_Actuals!L61*Contract_Register!$L$26)=0,0,Inputs_Actuals!L94/(Inputs_Actuals!L28*Contract_Register!$K$26+Inputs_Actuals!L61*Contract_Register!$L$26)),K104*IF(AND(Assumptions!L$201&gt;Contract_Register!$T$26,MOD(Assumptions!L$201-Contract_Register!$T$26,12)=0),(1+Assumptions!$F$179)*IF(MOD(Assumptions!L$201-Contract_Register!$T$26,Assumptions!$C$90)=0,1+Assumptions!$F$180,1),1))</f>
        <v>1.02599972647702</v>
      </c>
      <c r="M104" s="107" t="n">
        <f aca="false">IF(M$5="A",IF((Inputs_Actuals!M28*Contract_Register!$K$26+Inputs_Actuals!M61*Contract_Register!$L$26)=0,0,Inputs_Actuals!M94/(Inputs_Actuals!M28*Contract_Register!$K$26+Inputs_Actuals!M61*Contract_Register!$L$26)),L104*IF(AND(Assumptions!M$201&gt;Contract_Register!$T$26,MOD(Assumptions!M$201-Contract_Register!$T$26,12)=0),(1+Assumptions!$F$179)*IF(MOD(Assumptions!M$201-Contract_Register!$T$26,Assumptions!$C$90)=0,1+Assumptions!$F$180,1),1))</f>
        <v>1.02599972647702</v>
      </c>
      <c r="N104" s="107" t="n">
        <f aca="false">IF(N$5="A",IF((Inputs_Actuals!N28*Contract_Register!$K$26+Inputs_Actuals!N61*Contract_Register!$L$26)=0,0,Inputs_Actuals!N94/(Inputs_Actuals!N28*Contract_Register!$K$26+Inputs_Actuals!N61*Contract_Register!$L$26)),M104*IF(AND(Assumptions!N$201&gt;Contract_Register!$T$26,MOD(Assumptions!N$201-Contract_Register!$T$26,12)=0),(1+Assumptions!$F$179)*IF(MOD(Assumptions!N$201-Contract_Register!$T$26,Assumptions!$C$90)=0,1+Assumptions!$F$180,1),1))</f>
        <v>1.02599972647702</v>
      </c>
      <c r="O104" s="107" t="n">
        <f aca="false">IF(O$5="A",IF((Inputs_Actuals!O28*Contract_Register!$K$26+Inputs_Actuals!O61*Contract_Register!$L$26)=0,0,Inputs_Actuals!O94/(Inputs_Actuals!O28*Contract_Register!$K$26+Inputs_Actuals!O61*Contract_Register!$L$26)),N104*IF(AND(Assumptions!O$201&gt;Contract_Register!$T$26,MOD(Assumptions!O$201-Contract_Register!$T$26,12)=0),(1+Assumptions!$F$179)*IF(MOD(Assumptions!O$201-Contract_Register!$T$26,Assumptions!$C$90)=0,1+Assumptions!$F$180,1),1))</f>
        <v>1.02599972647702</v>
      </c>
      <c r="P104" s="107" t="n">
        <f aca="false">IF(P$5="A",IF((Inputs_Actuals!P28*Contract_Register!$K$26+Inputs_Actuals!P61*Contract_Register!$L$26)=0,0,Inputs_Actuals!P94/(Inputs_Actuals!P28*Contract_Register!$K$26+Inputs_Actuals!P61*Contract_Register!$L$26)),O104*IF(AND(Assumptions!P$201&gt;Contract_Register!$T$26,MOD(Assumptions!P$201-Contract_Register!$T$26,12)=0),(1+Assumptions!$F$179)*IF(MOD(Assumptions!P$201-Contract_Register!$T$26,Assumptions!$C$90)=0,1+Assumptions!$F$180,1),1))</f>
        <v>1.02599972647702</v>
      </c>
      <c r="Q104" s="107" t="n">
        <f aca="false">IF(Q$5="A",IF((Inputs_Actuals!Q28*Contract_Register!$K$26+Inputs_Actuals!Q61*Contract_Register!$L$26)=0,0,Inputs_Actuals!Q94/(Inputs_Actuals!Q28*Contract_Register!$K$26+Inputs_Actuals!Q61*Contract_Register!$L$26)),P104*IF(AND(Assumptions!Q$201&gt;Contract_Register!$T$26,MOD(Assumptions!Q$201-Contract_Register!$T$26,12)=0),(1+Assumptions!$F$179)*IF(MOD(Assumptions!Q$201-Contract_Register!$T$26,Assumptions!$C$90)=0,1+Assumptions!$F$180,1),1))</f>
        <v>1.05677971827133</v>
      </c>
      <c r="R104" s="107" t="n">
        <f aca="false">IF(R$5="A",IF((Inputs_Actuals!R28*Contract_Register!$K$26+Inputs_Actuals!R61*Contract_Register!$L$26)=0,0,Inputs_Actuals!R94/(Inputs_Actuals!R28*Contract_Register!$K$26+Inputs_Actuals!R61*Contract_Register!$L$26)),Q104*IF(AND(Assumptions!R$201&gt;Contract_Register!$T$26,MOD(Assumptions!R$201-Contract_Register!$T$26,12)=0),(1+Assumptions!$F$179)*IF(MOD(Assumptions!R$201-Contract_Register!$T$26,Assumptions!$C$90)=0,1+Assumptions!$F$180,1),1))</f>
        <v>1.05677971827133</v>
      </c>
      <c r="S104" s="107" t="n">
        <f aca="false">IF(S$5="A",IF((Inputs_Actuals!S28*Contract_Register!$K$26+Inputs_Actuals!S61*Contract_Register!$L$26)=0,0,Inputs_Actuals!S94/(Inputs_Actuals!S28*Contract_Register!$K$26+Inputs_Actuals!S61*Contract_Register!$L$26)),R104*IF(AND(Assumptions!S$201&gt;Contract_Register!$T$26,MOD(Assumptions!S$201-Contract_Register!$T$26,12)=0),(1+Assumptions!$F$179)*IF(MOD(Assumptions!S$201-Contract_Register!$T$26,Assumptions!$C$90)=0,1+Assumptions!$F$180,1),1))</f>
        <v>1.05677971827133</v>
      </c>
      <c r="T104" s="107" t="n">
        <f aca="false">IF(T$5="A",IF((Inputs_Actuals!T28*Contract_Register!$K$26+Inputs_Actuals!T61*Contract_Register!$L$26)=0,0,Inputs_Actuals!T94/(Inputs_Actuals!T28*Contract_Register!$K$26+Inputs_Actuals!T61*Contract_Register!$L$26)),S104*IF(AND(Assumptions!T$201&gt;Contract_Register!$T$26,MOD(Assumptions!T$201-Contract_Register!$T$26,12)=0),(1+Assumptions!$F$179)*IF(MOD(Assumptions!T$201-Contract_Register!$T$26,Assumptions!$C$90)=0,1+Assumptions!$F$180,1),1))</f>
        <v>1.05677971827133</v>
      </c>
      <c r="U104" s="107" t="n">
        <f aca="false">IF(U$5="A",IF((Inputs_Actuals!U28*Contract_Register!$K$26+Inputs_Actuals!U61*Contract_Register!$L$26)=0,0,Inputs_Actuals!U94/(Inputs_Actuals!U28*Contract_Register!$K$26+Inputs_Actuals!U61*Contract_Register!$L$26)),T104*IF(AND(Assumptions!U$201&gt;Contract_Register!$T$26,MOD(Assumptions!U$201-Contract_Register!$T$26,12)=0),(1+Assumptions!$F$179)*IF(MOD(Assumptions!U$201-Contract_Register!$T$26,Assumptions!$C$90)=0,1+Assumptions!$F$180,1),1))</f>
        <v>1.05677971827133</v>
      </c>
      <c r="V104" s="107" t="n">
        <f aca="false">IF(V$5="A",IF((Inputs_Actuals!V28*Contract_Register!$K$26+Inputs_Actuals!V61*Contract_Register!$L$26)=0,0,Inputs_Actuals!V94/(Inputs_Actuals!V28*Contract_Register!$K$26+Inputs_Actuals!V61*Contract_Register!$L$26)),U104*IF(AND(Assumptions!V$201&gt;Contract_Register!$T$26,MOD(Assumptions!V$201-Contract_Register!$T$26,12)=0),(1+Assumptions!$F$179)*IF(MOD(Assumptions!V$201-Contract_Register!$T$26,Assumptions!$C$90)=0,1+Assumptions!$F$180,1),1))</f>
        <v>1.05677971827133</v>
      </c>
      <c r="W104" s="107" t="n">
        <f aca="false">IF(W$5="A",IF((Inputs_Actuals!W28*Contract_Register!$K$26+Inputs_Actuals!W61*Contract_Register!$L$26)=0,0,Inputs_Actuals!W94/(Inputs_Actuals!W28*Contract_Register!$K$26+Inputs_Actuals!W61*Contract_Register!$L$26)),V104*IF(AND(Assumptions!W$201&gt;Contract_Register!$T$26,MOD(Assumptions!W$201-Contract_Register!$T$26,12)=0),(1+Assumptions!$F$179)*IF(MOD(Assumptions!W$201-Contract_Register!$T$26,Assumptions!$C$90)=0,1+Assumptions!$F$180,1),1))</f>
        <v>1.05677971827133</v>
      </c>
      <c r="X104" s="107" t="n">
        <f aca="false">IF(X$5="A",IF((Inputs_Actuals!X28*Contract_Register!$K$26+Inputs_Actuals!X61*Contract_Register!$L$26)=0,0,Inputs_Actuals!X94/(Inputs_Actuals!X28*Contract_Register!$K$26+Inputs_Actuals!X61*Contract_Register!$L$26)),W104*IF(AND(Assumptions!X$201&gt;Contract_Register!$T$26,MOD(Assumptions!X$201-Contract_Register!$T$26,12)=0),(1+Assumptions!$F$179)*IF(MOD(Assumptions!X$201-Contract_Register!$T$26,Assumptions!$C$90)=0,1+Assumptions!$F$180,1),1))</f>
        <v>1.05677971827133</v>
      </c>
      <c r="Y104" s="107" t="n">
        <f aca="false">IF(Y$5="A",IF((Inputs_Actuals!Y28*Contract_Register!$K$26+Inputs_Actuals!Y61*Contract_Register!$L$26)=0,0,Inputs_Actuals!Y94/(Inputs_Actuals!Y28*Contract_Register!$K$26+Inputs_Actuals!Y61*Contract_Register!$L$26)),X104*IF(AND(Assumptions!Y$201&gt;Contract_Register!$T$26,MOD(Assumptions!Y$201-Contract_Register!$T$26,12)=0),(1+Assumptions!$F$179)*IF(MOD(Assumptions!Y$201-Contract_Register!$T$26,Assumptions!$C$90)=0,1+Assumptions!$F$180,1),1))</f>
        <v>1.05677971827133</v>
      </c>
      <c r="Z104" s="107" t="n">
        <f aca="false">IF(Z$5="A",IF((Inputs_Actuals!Z28*Contract_Register!$K$26+Inputs_Actuals!Z61*Contract_Register!$L$26)=0,0,Inputs_Actuals!Z94/(Inputs_Actuals!Z28*Contract_Register!$K$26+Inputs_Actuals!Z61*Contract_Register!$L$26)),Y104*IF(AND(Assumptions!Z$201&gt;Contract_Register!$T$26,MOD(Assumptions!Z$201-Contract_Register!$T$26,12)=0),(1+Assumptions!$F$179)*IF(MOD(Assumptions!Z$201-Contract_Register!$T$26,Assumptions!$C$90)=0,1+Assumptions!$F$180,1),1))</f>
        <v>1.05677971827133</v>
      </c>
      <c r="AA104" s="107" t="n">
        <f aca="false">IF(AA$5="A",IF((Inputs_Actuals!AA28*Contract_Register!$K$26+Inputs_Actuals!AA61*Contract_Register!$L$26)=0,0,Inputs_Actuals!AA94/(Inputs_Actuals!AA28*Contract_Register!$K$26+Inputs_Actuals!AA61*Contract_Register!$L$26)),Z104*IF(AND(Assumptions!AA$201&gt;Contract_Register!$T$26,MOD(Assumptions!AA$201-Contract_Register!$T$26,12)=0),(1+Assumptions!$F$179)*IF(MOD(Assumptions!AA$201-Contract_Register!$T$26,Assumptions!$C$90)=0,1+Assumptions!$F$180,1),1))</f>
        <v>1.05677971827133</v>
      </c>
      <c r="AB104" s="107" t="n">
        <f aca="false">IF(AB$5="A",IF((Inputs_Actuals!AB28*Contract_Register!$K$26+Inputs_Actuals!AB61*Contract_Register!$L$26)=0,0,Inputs_Actuals!AB94/(Inputs_Actuals!AB28*Contract_Register!$K$26+Inputs_Actuals!AB61*Contract_Register!$L$26)),AA104*IF(AND(Assumptions!AB$201&gt;Contract_Register!$T$26,MOD(Assumptions!AB$201-Contract_Register!$T$26,12)=0),(1+Assumptions!$F$179)*IF(MOD(Assumptions!AB$201-Contract_Register!$T$26,Assumptions!$C$90)=0,1+Assumptions!$F$180,1),1))</f>
        <v>1.05677971827133</v>
      </c>
    </row>
    <row r="105" customFormat="false" ht="15" hidden="false" customHeight="false" outlineLevel="0" collapsed="false">
      <c r="A105" s="27" t="s">
        <v>833</v>
      </c>
      <c r="B105" s="63" t="s">
        <v>851</v>
      </c>
      <c r="C105" s="121" t="n">
        <f aca="false">P105</f>
        <v>1.026</v>
      </c>
      <c r="D105" s="121" t="n">
        <f aca="false">AB105</f>
        <v>1.05678</v>
      </c>
      <c r="E105" s="107" t="n">
        <f aca="false">IF(E$5="A",IF((Inputs_Actuals!E29*Contract_Register!$K$27+Inputs_Actuals!E62*Contract_Register!$L$27)=0,0,Inputs_Actuals!E95/(Inputs_Actuals!E29*Contract_Register!$K$27+Inputs_Actuals!E62*Contract_Register!$L$27)),1*IF(AND(Assumptions!E$201&gt;Contract_Register!$T$27,MOD(Assumptions!E$201-Contract_Register!$T$27,12)=0),(1+Assumptions!$F$179)*IF(MOD(Assumptions!E$201-Contract_Register!$T$27,Assumptions!$C$90)=0,1+Assumptions!$F$180,1),1))</f>
        <v>1</v>
      </c>
      <c r="F105" s="107" t="n">
        <f aca="false">IF(F$5="A",IF((Inputs_Actuals!F29*Contract_Register!$K$27+Inputs_Actuals!F62*Contract_Register!$L$27)=0,0,Inputs_Actuals!F95/(Inputs_Actuals!F29*Contract_Register!$K$27+Inputs_Actuals!F62*Contract_Register!$L$27)),E105*IF(AND(Assumptions!F$201&gt;Contract_Register!$T$27,MOD(Assumptions!F$201-Contract_Register!$T$27,12)=0),(1+Assumptions!$F$179)*IF(MOD(Assumptions!F$201-Contract_Register!$T$27,Assumptions!$C$90)=0,1+Assumptions!$F$180,1),1))</f>
        <v>1</v>
      </c>
      <c r="G105" s="107" t="n">
        <f aca="false">IF(G$5="A",IF((Inputs_Actuals!G29*Contract_Register!$K$27+Inputs_Actuals!G62*Contract_Register!$L$27)=0,0,Inputs_Actuals!G95/(Inputs_Actuals!G29*Contract_Register!$K$27+Inputs_Actuals!G62*Contract_Register!$L$27)),F105*IF(AND(Assumptions!G$201&gt;Contract_Register!$T$27,MOD(Assumptions!G$201-Contract_Register!$T$27,12)=0),(1+Assumptions!$F$179)*IF(MOD(Assumptions!G$201-Contract_Register!$T$27,Assumptions!$C$90)=0,1+Assumptions!$F$180,1),1))</f>
        <v>1</v>
      </c>
      <c r="H105" s="107" t="n">
        <f aca="false">IF(H$5="A",IF((Inputs_Actuals!H29*Contract_Register!$K$27+Inputs_Actuals!H62*Contract_Register!$L$27)=0,0,Inputs_Actuals!H95/(Inputs_Actuals!H29*Contract_Register!$K$27+Inputs_Actuals!H62*Contract_Register!$L$27)),G105*IF(AND(Assumptions!H$201&gt;Contract_Register!$T$27,MOD(Assumptions!H$201-Contract_Register!$T$27,12)=0),(1+Assumptions!$F$179)*IF(MOD(Assumptions!H$201-Contract_Register!$T$27,Assumptions!$C$90)=0,1+Assumptions!$F$180,1),1))</f>
        <v>1</v>
      </c>
      <c r="I105" s="107" t="n">
        <f aca="false">IF(I$5="A",IF((Inputs_Actuals!I29*Contract_Register!$K$27+Inputs_Actuals!I62*Contract_Register!$L$27)=0,0,Inputs_Actuals!I95/(Inputs_Actuals!I29*Contract_Register!$K$27+Inputs_Actuals!I62*Contract_Register!$L$27)),H105*IF(AND(Assumptions!I$201&gt;Contract_Register!$T$27,MOD(Assumptions!I$201-Contract_Register!$T$27,12)=0),(1+Assumptions!$F$179)*IF(MOD(Assumptions!I$201-Contract_Register!$T$27,Assumptions!$C$90)=0,1+Assumptions!$F$180,1),1))</f>
        <v>1</v>
      </c>
      <c r="J105" s="107" t="n">
        <f aca="false">IF(J$5="A",IF((Inputs_Actuals!J29*Contract_Register!$K$27+Inputs_Actuals!J62*Contract_Register!$L$27)=0,0,Inputs_Actuals!J95/(Inputs_Actuals!J29*Contract_Register!$K$27+Inputs_Actuals!J62*Contract_Register!$L$27)),I105*IF(AND(Assumptions!J$201&gt;Contract_Register!$T$27,MOD(Assumptions!J$201-Contract_Register!$T$27,12)=0),(1+Assumptions!$F$179)*IF(MOD(Assumptions!J$201-Contract_Register!$T$27,Assumptions!$C$90)=0,1+Assumptions!$F$180,1),1))</f>
        <v>1</v>
      </c>
      <c r="K105" s="107" t="n">
        <f aca="false">IF(K$5="A",IF((Inputs_Actuals!K29*Contract_Register!$K$27+Inputs_Actuals!K62*Contract_Register!$L$27)=0,0,Inputs_Actuals!K95/(Inputs_Actuals!K29*Contract_Register!$K$27+Inputs_Actuals!K62*Contract_Register!$L$27)),J105*IF(AND(Assumptions!K$201&gt;Contract_Register!$T$27,MOD(Assumptions!K$201-Contract_Register!$T$27,12)=0),(1+Assumptions!$F$179)*IF(MOD(Assumptions!K$201-Contract_Register!$T$27,Assumptions!$C$90)=0,1+Assumptions!$F$180,1),1))</f>
        <v>1.026</v>
      </c>
      <c r="L105" s="107" t="n">
        <f aca="false">IF(L$5="A",IF((Inputs_Actuals!L29*Contract_Register!$K$27+Inputs_Actuals!L62*Contract_Register!$L$27)=0,0,Inputs_Actuals!L95/(Inputs_Actuals!L29*Contract_Register!$K$27+Inputs_Actuals!L62*Contract_Register!$L$27)),K105*IF(AND(Assumptions!L$201&gt;Contract_Register!$T$27,MOD(Assumptions!L$201-Contract_Register!$T$27,12)=0),(1+Assumptions!$F$179)*IF(MOD(Assumptions!L$201-Contract_Register!$T$27,Assumptions!$C$90)=0,1+Assumptions!$F$180,1),1))</f>
        <v>1.026</v>
      </c>
      <c r="M105" s="107" t="n">
        <f aca="false">IF(M$5="A",IF((Inputs_Actuals!M29*Contract_Register!$K$27+Inputs_Actuals!M62*Contract_Register!$L$27)=0,0,Inputs_Actuals!M95/(Inputs_Actuals!M29*Contract_Register!$K$27+Inputs_Actuals!M62*Contract_Register!$L$27)),L105*IF(AND(Assumptions!M$201&gt;Contract_Register!$T$27,MOD(Assumptions!M$201-Contract_Register!$T$27,12)=0),(1+Assumptions!$F$179)*IF(MOD(Assumptions!M$201-Contract_Register!$T$27,Assumptions!$C$90)=0,1+Assumptions!$F$180,1),1))</f>
        <v>1.026</v>
      </c>
      <c r="N105" s="107" t="n">
        <f aca="false">IF(N$5="A",IF((Inputs_Actuals!N29*Contract_Register!$K$27+Inputs_Actuals!N62*Contract_Register!$L$27)=0,0,Inputs_Actuals!N95/(Inputs_Actuals!N29*Contract_Register!$K$27+Inputs_Actuals!N62*Contract_Register!$L$27)),M105*IF(AND(Assumptions!N$201&gt;Contract_Register!$T$27,MOD(Assumptions!N$201-Contract_Register!$T$27,12)=0),(1+Assumptions!$F$179)*IF(MOD(Assumptions!N$201-Contract_Register!$T$27,Assumptions!$C$90)=0,1+Assumptions!$F$180,1),1))</f>
        <v>1.026</v>
      </c>
      <c r="O105" s="107" t="n">
        <f aca="false">IF(O$5="A",IF((Inputs_Actuals!O29*Contract_Register!$K$27+Inputs_Actuals!O62*Contract_Register!$L$27)=0,0,Inputs_Actuals!O95/(Inputs_Actuals!O29*Contract_Register!$K$27+Inputs_Actuals!O62*Contract_Register!$L$27)),N105*IF(AND(Assumptions!O$201&gt;Contract_Register!$T$27,MOD(Assumptions!O$201-Contract_Register!$T$27,12)=0),(1+Assumptions!$F$179)*IF(MOD(Assumptions!O$201-Contract_Register!$T$27,Assumptions!$C$90)=0,1+Assumptions!$F$180,1),1))</f>
        <v>1.026</v>
      </c>
      <c r="P105" s="107" t="n">
        <f aca="false">IF(P$5="A",IF((Inputs_Actuals!P29*Contract_Register!$K$27+Inputs_Actuals!P62*Contract_Register!$L$27)=0,0,Inputs_Actuals!P95/(Inputs_Actuals!P29*Contract_Register!$K$27+Inputs_Actuals!P62*Contract_Register!$L$27)),O105*IF(AND(Assumptions!P$201&gt;Contract_Register!$T$27,MOD(Assumptions!P$201-Contract_Register!$T$27,12)=0),(1+Assumptions!$F$179)*IF(MOD(Assumptions!P$201-Contract_Register!$T$27,Assumptions!$C$90)=0,1+Assumptions!$F$180,1),1))</f>
        <v>1.026</v>
      </c>
      <c r="Q105" s="107" t="n">
        <f aca="false">IF(Q$5="A",IF((Inputs_Actuals!Q29*Contract_Register!$K$27+Inputs_Actuals!Q62*Contract_Register!$L$27)=0,0,Inputs_Actuals!Q95/(Inputs_Actuals!Q29*Contract_Register!$K$27+Inputs_Actuals!Q62*Contract_Register!$L$27)),P105*IF(AND(Assumptions!Q$201&gt;Contract_Register!$T$27,MOD(Assumptions!Q$201-Contract_Register!$T$27,12)=0),(1+Assumptions!$F$179)*IF(MOD(Assumptions!Q$201-Contract_Register!$T$27,Assumptions!$C$90)=0,1+Assumptions!$F$180,1),1))</f>
        <v>1.026</v>
      </c>
      <c r="R105" s="107" t="n">
        <f aca="false">IF(R$5="A",IF((Inputs_Actuals!R29*Contract_Register!$K$27+Inputs_Actuals!R62*Contract_Register!$L$27)=0,0,Inputs_Actuals!R95/(Inputs_Actuals!R29*Contract_Register!$K$27+Inputs_Actuals!R62*Contract_Register!$L$27)),Q105*IF(AND(Assumptions!R$201&gt;Contract_Register!$T$27,MOD(Assumptions!R$201-Contract_Register!$T$27,12)=0),(1+Assumptions!$F$179)*IF(MOD(Assumptions!R$201-Contract_Register!$T$27,Assumptions!$C$90)=0,1+Assumptions!$F$180,1),1))</f>
        <v>1.026</v>
      </c>
      <c r="S105" s="107" t="n">
        <f aca="false">IF(S$5="A",IF((Inputs_Actuals!S29*Contract_Register!$K$27+Inputs_Actuals!S62*Contract_Register!$L$27)=0,0,Inputs_Actuals!S95/(Inputs_Actuals!S29*Contract_Register!$K$27+Inputs_Actuals!S62*Contract_Register!$L$27)),R105*IF(AND(Assumptions!S$201&gt;Contract_Register!$T$27,MOD(Assumptions!S$201-Contract_Register!$T$27,12)=0),(1+Assumptions!$F$179)*IF(MOD(Assumptions!S$201-Contract_Register!$T$27,Assumptions!$C$90)=0,1+Assumptions!$F$180,1),1))</f>
        <v>1.026</v>
      </c>
      <c r="T105" s="107" t="n">
        <f aca="false">IF(T$5="A",IF((Inputs_Actuals!T29*Contract_Register!$K$27+Inputs_Actuals!T62*Contract_Register!$L$27)=0,0,Inputs_Actuals!T95/(Inputs_Actuals!T29*Contract_Register!$K$27+Inputs_Actuals!T62*Contract_Register!$L$27)),S105*IF(AND(Assumptions!T$201&gt;Contract_Register!$T$27,MOD(Assumptions!T$201-Contract_Register!$T$27,12)=0),(1+Assumptions!$F$179)*IF(MOD(Assumptions!T$201-Contract_Register!$T$27,Assumptions!$C$90)=0,1+Assumptions!$F$180,1),1))</f>
        <v>1.026</v>
      </c>
      <c r="U105" s="107" t="n">
        <f aca="false">IF(U$5="A",IF((Inputs_Actuals!U29*Contract_Register!$K$27+Inputs_Actuals!U62*Contract_Register!$L$27)=0,0,Inputs_Actuals!U95/(Inputs_Actuals!U29*Contract_Register!$K$27+Inputs_Actuals!U62*Contract_Register!$L$27)),T105*IF(AND(Assumptions!U$201&gt;Contract_Register!$T$27,MOD(Assumptions!U$201-Contract_Register!$T$27,12)=0),(1+Assumptions!$F$179)*IF(MOD(Assumptions!U$201-Contract_Register!$T$27,Assumptions!$C$90)=0,1+Assumptions!$F$180,1),1))</f>
        <v>1.026</v>
      </c>
      <c r="V105" s="107" t="n">
        <f aca="false">IF(V$5="A",IF((Inputs_Actuals!V29*Contract_Register!$K$27+Inputs_Actuals!V62*Contract_Register!$L$27)=0,0,Inputs_Actuals!V95/(Inputs_Actuals!V29*Contract_Register!$K$27+Inputs_Actuals!V62*Contract_Register!$L$27)),U105*IF(AND(Assumptions!V$201&gt;Contract_Register!$T$27,MOD(Assumptions!V$201-Contract_Register!$T$27,12)=0),(1+Assumptions!$F$179)*IF(MOD(Assumptions!V$201-Contract_Register!$T$27,Assumptions!$C$90)=0,1+Assumptions!$F$180,1),1))</f>
        <v>1.026</v>
      </c>
      <c r="W105" s="107" t="n">
        <f aca="false">IF(W$5="A",IF((Inputs_Actuals!W29*Contract_Register!$K$27+Inputs_Actuals!W62*Contract_Register!$L$27)=0,0,Inputs_Actuals!W95/(Inputs_Actuals!W29*Contract_Register!$K$27+Inputs_Actuals!W62*Contract_Register!$L$27)),V105*IF(AND(Assumptions!W$201&gt;Contract_Register!$T$27,MOD(Assumptions!W$201-Contract_Register!$T$27,12)=0),(1+Assumptions!$F$179)*IF(MOD(Assumptions!W$201-Contract_Register!$T$27,Assumptions!$C$90)=0,1+Assumptions!$F$180,1),1))</f>
        <v>1.05678</v>
      </c>
      <c r="X105" s="107" t="n">
        <f aca="false">IF(X$5="A",IF((Inputs_Actuals!X29*Contract_Register!$K$27+Inputs_Actuals!X62*Contract_Register!$L$27)=0,0,Inputs_Actuals!X95/(Inputs_Actuals!X29*Contract_Register!$K$27+Inputs_Actuals!X62*Contract_Register!$L$27)),W105*IF(AND(Assumptions!X$201&gt;Contract_Register!$T$27,MOD(Assumptions!X$201-Contract_Register!$T$27,12)=0),(1+Assumptions!$F$179)*IF(MOD(Assumptions!X$201-Contract_Register!$T$27,Assumptions!$C$90)=0,1+Assumptions!$F$180,1),1))</f>
        <v>1.05678</v>
      </c>
      <c r="Y105" s="107" t="n">
        <f aca="false">IF(Y$5="A",IF((Inputs_Actuals!Y29*Contract_Register!$K$27+Inputs_Actuals!Y62*Contract_Register!$L$27)=0,0,Inputs_Actuals!Y95/(Inputs_Actuals!Y29*Contract_Register!$K$27+Inputs_Actuals!Y62*Contract_Register!$L$27)),X105*IF(AND(Assumptions!Y$201&gt;Contract_Register!$T$27,MOD(Assumptions!Y$201-Contract_Register!$T$27,12)=0),(1+Assumptions!$F$179)*IF(MOD(Assumptions!Y$201-Contract_Register!$T$27,Assumptions!$C$90)=0,1+Assumptions!$F$180,1),1))</f>
        <v>1.05678</v>
      </c>
      <c r="Z105" s="107" t="n">
        <f aca="false">IF(Z$5="A",IF((Inputs_Actuals!Z29*Contract_Register!$K$27+Inputs_Actuals!Z62*Contract_Register!$L$27)=0,0,Inputs_Actuals!Z95/(Inputs_Actuals!Z29*Contract_Register!$K$27+Inputs_Actuals!Z62*Contract_Register!$L$27)),Y105*IF(AND(Assumptions!Z$201&gt;Contract_Register!$T$27,MOD(Assumptions!Z$201-Contract_Register!$T$27,12)=0),(1+Assumptions!$F$179)*IF(MOD(Assumptions!Z$201-Contract_Register!$T$27,Assumptions!$C$90)=0,1+Assumptions!$F$180,1),1))</f>
        <v>1.05678</v>
      </c>
      <c r="AA105" s="107" t="n">
        <f aca="false">IF(AA$5="A",IF((Inputs_Actuals!AA29*Contract_Register!$K$27+Inputs_Actuals!AA62*Contract_Register!$L$27)=0,0,Inputs_Actuals!AA95/(Inputs_Actuals!AA29*Contract_Register!$K$27+Inputs_Actuals!AA62*Contract_Register!$L$27)),Z105*IF(AND(Assumptions!AA$201&gt;Contract_Register!$T$27,MOD(Assumptions!AA$201-Contract_Register!$T$27,12)=0),(1+Assumptions!$F$179)*IF(MOD(Assumptions!AA$201-Contract_Register!$T$27,Assumptions!$C$90)=0,1+Assumptions!$F$180,1),1))</f>
        <v>1.05678</v>
      </c>
      <c r="AB105" s="107" t="n">
        <f aca="false">IF(AB$5="A",IF((Inputs_Actuals!AB29*Contract_Register!$K$27+Inputs_Actuals!AB62*Contract_Register!$L$27)=0,0,Inputs_Actuals!AB95/(Inputs_Actuals!AB29*Contract_Register!$K$27+Inputs_Actuals!AB62*Contract_Register!$L$27)),AA105*IF(AND(Assumptions!AB$201&gt;Contract_Register!$T$27,MOD(Assumptions!AB$201-Contract_Register!$T$27,12)=0),(1+Assumptions!$F$179)*IF(MOD(Assumptions!AB$201-Contract_Register!$T$27,Assumptions!$C$90)=0,1+Assumptions!$F$180,1),1))</f>
        <v>1.05678</v>
      </c>
    </row>
    <row r="106" customFormat="false" ht="15" hidden="false" customHeight="false" outlineLevel="0" collapsed="false">
      <c r="A106" s="27" t="s">
        <v>834</v>
      </c>
      <c r="B106" s="63" t="s">
        <v>851</v>
      </c>
      <c r="C106" s="121" t="n">
        <f aca="false">P106</f>
        <v>1.03</v>
      </c>
      <c r="D106" s="121" t="n">
        <f aca="false">AB106</f>
        <v>1.0609</v>
      </c>
      <c r="E106" s="107" t="n">
        <f aca="false">IF(E$5="A",IF((Inputs_Actuals!E30*Contract_Register!$K$28+Inputs_Actuals!E63*Contract_Register!$L$28)=0,0,Inputs_Actuals!E96/(Inputs_Actuals!E30*Contract_Register!$K$28+Inputs_Actuals!E63*Contract_Register!$L$28)),1*IF(AND(Assumptions!E$201&gt;Contract_Register!$T$28,MOD(Assumptions!E$201-Contract_Register!$T$28,12)=0),(1+Assumptions!$F$179)*IF(MOD(Assumptions!E$201-Contract_Register!$T$28,Assumptions!$C$90)=0,1+Assumptions!$F$180,1),1))</f>
        <v>1</v>
      </c>
      <c r="F106" s="107" t="n">
        <f aca="false">IF(F$5="A",IF((Inputs_Actuals!F30*Contract_Register!$K$28+Inputs_Actuals!F63*Contract_Register!$L$28)=0,0,Inputs_Actuals!F96/(Inputs_Actuals!F30*Contract_Register!$K$28+Inputs_Actuals!F63*Contract_Register!$L$28)),E106*IF(AND(Assumptions!F$201&gt;Contract_Register!$T$28,MOD(Assumptions!F$201-Contract_Register!$T$28,12)=0),(1+Assumptions!$F$179)*IF(MOD(Assumptions!F$201-Contract_Register!$T$28,Assumptions!$C$90)=0,1+Assumptions!$F$180,1),1))</f>
        <v>1</v>
      </c>
      <c r="G106" s="107" t="n">
        <f aca="false">IF(G$5="A",IF((Inputs_Actuals!G30*Contract_Register!$K$28+Inputs_Actuals!G63*Contract_Register!$L$28)=0,0,Inputs_Actuals!G96/(Inputs_Actuals!G30*Contract_Register!$K$28+Inputs_Actuals!G63*Contract_Register!$L$28)),F106*IF(AND(Assumptions!G$201&gt;Contract_Register!$T$28,MOD(Assumptions!G$201-Contract_Register!$T$28,12)=0),(1+Assumptions!$F$179)*IF(MOD(Assumptions!G$201-Contract_Register!$T$28,Assumptions!$C$90)=0,1+Assumptions!$F$180,1),1))</f>
        <v>1</v>
      </c>
      <c r="H106" s="107" t="n">
        <f aca="false">IF(H$5="A",IF((Inputs_Actuals!H30*Contract_Register!$K$28+Inputs_Actuals!H63*Contract_Register!$L$28)=0,0,Inputs_Actuals!H96/(Inputs_Actuals!H30*Contract_Register!$K$28+Inputs_Actuals!H63*Contract_Register!$L$28)),G106*IF(AND(Assumptions!H$201&gt;Contract_Register!$T$28,MOD(Assumptions!H$201-Contract_Register!$T$28,12)=0),(1+Assumptions!$F$179)*IF(MOD(Assumptions!H$201-Contract_Register!$T$28,Assumptions!$C$90)=0,1+Assumptions!$F$180,1),1))</f>
        <v>1</v>
      </c>
      <c r="I106" s="107" t="n">
        <f aca="false">IF(I$5="A",IF((Inputs_Actuals!I30*Contract_Register!$K$28+Inputs_Actuals!I63*Contract_Register!$L$28)=0,0,Inputs_Actuals!I96/(Inputs_Actuals!I30*Contract_Register!$K$28+Inputs_Actuals!I63*Contract_Register!$L$28)),H106*IF(AND(Assumptions!I$201&gt;Contract_Register!$T$28,MOD(Assumptions!I$201-Contract_Register!$T$28,12)=0),(1+Assumptions!$F$179)*IF(MOD(Assumptions!I$201-Contract_Register!$T$28,Assumptions!$C$90)=0,1+Assumptions!$F$180,1),1))</f>
        <v>1</v>
      </c>
      <c r="J106" s="107" t="n">
        <f aca="false">IF(J$5="A",IF((Inputs_Actuals!J30*Contract_Register!$K$28+Inputs_Actuals!J63*Contract_Register!$L$28)=0,0,Inputs_Actuals!J96/(Inputs_Actuals!J30*Contract_Register!$K$28+Inputs_Actuals!J63*Contract_Register!$L$28)),I106*IF(AND(Assumptions!J$201&gt;Contract_Register!$T$28,MOD(Assumptions!J$201-Contract_Register!$T$28,12)=0),(1+Assumptions!$F$179)*IF(MOD(Assumptions!J$201-Contract_Register!$T$28,Assumptions!$C$90)=0,1+Assumptions!$F$180,1),1))</f>
        <v>1</v>
      </c>
      <c r="K106" s="107" t="n">
        <f aca="false">IF(K$5="A",IF((Inputs_Actuals!K30*Contract_Register!$K$28+Inputs_Actuals!K63*Contract_Register!$L$28)=0,0,Inputs_Actuals!K96/(Inputs_Actuals!K30*Contract_Register!$K$28+Inputs_Actuals!K63*Contract_Register!$L$28)),J106*IF(AND(Assumptions!K$201&gt;Contract_Register!$T$28,MOD(Assumptions!K$201-Contract_Register!$T$28,12)=0),(1+Assumptions!$F$179)*IF(MOD(Assumptions!K$201-Contract_Register!$T$28,Assumptions!$C$90)=0,1+Assumptions!$F$180,1),1))</f>
        <v>1</v>
      </c>
      <c r="L106" s="107" t="n">
        <f aca="false">IF(L$5="A",IF((Inputs_Actuals!L30*Contract_Register!$K$28+Inputs_Actuals!L63*Contract_Register!$L$28)=0,0,Inputs_Actuals!L96/(Inputs_Actuals!L30*Contract_Register!$K$28+Inputs_Actuals!L63*Contract_Register!$L$28)),K106*IF(AND(Assumptions!L$201&gt;Contract_Register!$T$28,MOD(Assumptions!L$201-Contract_Register!$T$28,12)=0),(1+Assumptions!$F$179)*IF(MOD(Assumptions!L$201-Contract_Register!$T$28,Assumptions!$C$90)=0,1+Assumptions!$F$180,1),1))</f>
        <v>1</v>
      </c>
      <c r="M106" s="107" t="n">
        <f aca="false">IF(M$5="A",IF((Inputs_Actuals!M30*Contract_Register!$K$28+Inputs_Actuals!M63*Contract_Register!$L$28)=0,0,Inputs_Actuals!M96/(Inputs_Actuals!M30*Contract_Register!$K$28+Inputs_Actuals!M63*Contract_Register!$L$28)),L106*IF(AND(Assumptions!M$201&gt;Contract_Register!$T$28,MOD(Assumptions!M$201-Contract_Register!$T$28,12)=0),(1+Assumptions!$F$179)*IF(MOD(Assumptions!M$201-Contract_Register!$T$28,Assumptions!$C$90)=0,1+Assumptions!$F$180,1),1))</f>
        <v>1</v>
      </c>
      <c r="N106" s="107" t="n">
        <f aca="false">IF(N$5="A",IF((Inputs_Actuals!N30*Contract_Register!$K$28+Inputs_Actuals!N63*Contract_Register!$L$28)=0,0,Inputs_Actuals!N96/(Inputs_Actuals!N30*Contract_Register!$K$28+Inputs_Actuals!N63*Contract_Register!$L$28)),M106*IF(AND(Assumptions!N$201&gt;Contract_Register!$T$28,MOD(Assumptions!N$201-Contract_Register!$T$28,12)=0),(1+Assumptions!$F$179)*IF(MOD(Assumptions!N$201-Contract_Register!$T$28,Assumptions!$C$90)=0,1+Assumptions!$F$180,1),1))</f>
        <v>1</v>
      </c>
      <c r="O106" s="107" t="n">
        <f aca="false">IF(O$5="A",IF((Inputs_Actuals!O30*Contract_Register!$K$28+Inputs_Actuals!O63*Contract_Register!$L$28)=0,0,Inputs_Actuals!O96/(Inputs_Actuals!O30*Contract_Register!$K$28+Inputs_Actuals!O63*Contract_Register!$L$28)),N106*IF(AND(Assumptions!O$201&gt;Contract_Register!$T$28,MOD(Assumptions!O$201-Contract_Register!$T$28,12)=0),(1+Assumptions!$F$179)*IF(MOD(Assumptions!O$201-Contract_Register!$T$28,Assumptions!$C$90)=0,1+Assumptions!$F$180,1),1))</f>
        <v>1.03</v>
      </c>
      <c r="P106" s="107" t="n">
        <f aca="false">IF(P$5="A",IF((Inputs_Actuals!P30*Contract_Register!$K$28+Inputs_Actuals!P63*Contract_Register!$L$28)=0,0,Inputs_Actuals!P96/(Inputs_Actuals!P30*Contract_Register!$K$28+Inputs_Actuals!P63*Contract_Register!$L$28)),O106*IF(AND(Assumptions!P$201&gt;Contract_Register!$T$28,MOD(Assumptions!P$201-Contract_Register!$T$28,12)=0),(1+Assumptions!$F$179)*IF(MOD(Assumptions!P$201-Contract_Register!$T$28,Assumptions!$C$90)=0,1+Assumptions!$F$180,1),1))</f>
        <v>1.03</v>
      </c>
      <c r="Q106" s="107" t="n">
        <f aca="false">IF(Q$5="A",IF((Inputs_Actuals!Q30*Contract_Register!$K$28+Inputs_Actuals!Q63*Contract_Register!$L$28)=0,0,Inputs_Actuals!Q96/(Inputs_Actuals!Q30*Contract_Register!$K$28+Inputs_Actuals!Q63*Contract_Register!$L$28)),P106*IF(AND(Assumptions!Q$201&gt;Contract_Register!$T$28,MOD(Assumptions!Q$201-Contract_Register!$T$28,12)=0),(1+Assumptions!$F$179)*IF(MOD(Assumptions!Q$201-Contract_Register!$T$28,Assumptions!$C$90)=0,1+Assumptions!$F$180,1),1))</f>
        <v>1.03</v>
      </c>
      <c r="R106" s="107" t="n">
        <f aca="false">IF(R$5="A",IF((Inputs_Actuals!R30*Contract_Register!$K$28+Inputs_Actuals!R63*Contract_Register!$L$28)=0,0,Inputs_Actuals!R96/(Inputs_Actuals!R30*Contract_Register!$K$28+Inputs_Actuals!R63*Contract_Register!$L$28)),Q106*IF(AND(Assumptions!R$201&gt;Contract_Register!$T$28,MOD(Assumptions!R$201-Contract_Register!$T$28,12)=0),(1+Assumptions!$F$179)*IF(MOD(Assumptions!R$201-Contract_Register!$T$28,Assumptions!$C$90)=0,1+Assumptions!$F$180,1),1))</f>
        <v>1.03</v>
      </c>
      <c r="S106" s="107" t="n">
        <f aca="false">IF(S$5="A",IF((Inputs_Actuals!S30*Contract_Register!$K$28+Inputs_Actuals!S63*Contract_Register!$L$28)=0,0,Inputs_Actuals!S96/(Inputs_Actuals!S30*Contract_Register!$K$28+Inputs_Actuals!S63*Contract_Register!$L$28)),R106*IF(AND(Assumptions!S$201&gt;Contract_Register!$T$28,MOD(Assumptions!S$201-Contract_Register!$T$28,12)=0),(1+Assumptions!$F$179)*IF(MOD(Assumptions!S$201-Contract_Register!$T$28,Assumptions!$C$90)=0,1+Assumptions!$F$180,1),1))</f>
        <v>1.03</v>
      </c>
      <c r="T106" s="107" t="n">
        <f aca="false">IF(T$5="A",IF((Inputs_Actuals!T30*Contract_Register!$K$28+Inputs_Actuals!T63*Contract_Register!$L$28)=0,0,Inputs_Actuals!T96/(Inputs_Actuals!T30*Contract_Register!$K$28+Inputs_Actuals!T63*Contract_Register!$L$28)),S106*IF(AND(Assumptions!T$201&gt;Contract_Register!$T$28,MOD(Assumptions!T$201-Contract_Register!$T$28,12)=0),(1+Assumptions!$F$179)*IF(MOD(Assumptions!T$201-Contract_Register!$T$28,Assumptions!$C$90)=0,1+Assumptions!$F$180,1),1))</f>
        <v>1.03</v>
      </c>
      <c r="U106" s="107" t="n">
        <f aca="false">IF(U$5="A",IF((Inputs_Actuals!U30*Contract_Register!$K$28+Inputs_Actuals!U63*Contract_Register!$L$28)=0,0,Inputs_Actuals!U96/(Inputs_Actuals!U30*Contract_Register!$K$28+Inputs_Actuals!U63*Contract_Register!$L$28)),T106*IF(AND(Assumptions!U$201&gt;Contract_Register!$T$28,MOD(Assumptions!U$201-Contract_Register!$T$28,12)=0),(1+Assumptions!$F$179)*IF(MOD(Assumptions!U$201-Contract_Register!$T$28,Assumptions!$C$90)=0,1+Assumptions!$F$180,1),1))</f>
        <v>1.03</v>
      </c>
      <c r="V106" s="107" t="n">
        <f aca="false">IF(V$5="A",IF((Inputs_Actuals!V30*Contract_Register!$K$28+Inputs_Actuals!V63*Contract_Register!$L$28)=0,0,Inputs_Actuals!V96/(Inputs_Actuals!V30*Contract_Register!$K$28+Inputs_Actuals!V63*Contract_Register!$L$28)),U106*IF(AND(Assumptions!V$201&gt;Contract_Register!$T$28,MOD(Assumptions!V$201-Contract_Register!$T$28,12)=0),(1+Assumptions!$F$179)*IF(MOD(Assumptions!V$201-Contract_Register!$T$28,Assumptions!$C$90)=0,1+Assumptions!$F$180,1),1))</f>
        <v>1.03</v>
      </c>
      <c r="W106" s="107" t="n">
        <f aca="false">IF(W$5="A",IF((Inputs_Actuals!W30*Contract_Register!$K$28+Inputs_Actuals!W63*Contract_Register!$L$28)=0,0,Inputs_Actuals!W96/(Inputs_Actuals!W30*Contract_Register!$K$28+Inputs_Actuals!W63*Contract_Register!$L$28)),V106*IF(AND(Assumptions!W$201&gt;Contract_Register!$T$28,MOD(Assumptions!W$201-Contract_Register!$T$28,12)=0),(1+Assumptions!$F$179)*IF(MOD(Assumptions!W$201-Contract_Register!$T$28,Assumptions!$C$90)=0,1+Assumptions!$F$180,1),1))</f>
        <v>1.03</v>
      </c>
      <c r="X106" s="107" t="n">
        <f aca="false">IF(X$5="A",IF((Inputs_Actuals!X30*Contract_Register!$K$28+Inputs_Actuals!X63*Contract_Register!$L$28)=0,0,Inputs_Actuals!X96/(Inputs_Actuals!X30*Contract_Register!$K$28+Inputs_Actuals!X63*Contract_Register!$L$28)),W106*IF(AND(Assumptions!X$201&gt;Contract_Register!$T$28,MOD(Assumptions!X$201-Contract_Register!$T$28,12)=0),(1+Assumptions!$F$179)*IF(MOD(Assumptions!X$201-Contract_Register!$T$28,Assumptions!$C$90)=0,1+Assumptions!$F$180,1),1))</f>
        <v>1.03</v>
      </c>
      <c r="Y106" s="107" t="n">
        <f aca="false">IF(Y$5="A",IF((Inputs_Actuals!Y30*Contract_Register!$K$28+Inputs_Actuals!Y63*Contract_Register!$L$28)=0,0,Inputs_Actuals!Y96/(Inputs_Actuals!Y30*Contract_Register!$K$28+Inputs_Actuals!Y63*Contract_Register!$L$28)),X106*IF(AND(Assumptions!Y$201&gt;Contract_Register!$T$28,MOD(Assumptions!Y$201-Contract_Register!$T$28,12)=0),(1+Assumptions!$F$179)*IF(MOD(Assumptions!Y$201-Contract_Register!$T$28,Assumptions!$C$90)=0,1+Assumptions!$F$180,1),1))</f>
        <v>1.03</v>
      </c>
      <c r="Z106" s="107" t="n">
        <f aca="false">IF(Z$5="A",IF((Inputs_Actuals!Z30*Contract_Register!$K$28+Inputs_Actuals!Z63*Contract_Register!$L$28)=0,0,Inputs_Actuals!Z96/(Inputs_Actuals!Z30*Contract_Register!$K$28+Inputs_Actuals!Z63*Contract_Register!$L$28)),Y106*IF(AND(Assumptions!Z$201&gt;Contract_Register!$T$28,MOD(Assumptions!Z$201-Contract_Register!$T$28,12)=0),(1+Assumptions!$F$179)*IF(MOD(Assumptions!Z$201-Contract_Register!$T$28,Assumptions!$C$90)=0,1+Assumptions!$F$180,1),1))</f>
        <v>1.03</v>
      </c>
      <c r="AA106" s="107" t="n">
        <f aca="false">IF(AA$5="A",IF((Inputs_Actuals!AA30*Contract_Register!$K$28+Inputs_Actuals!AA63*Contract_Register!$L$28)=0,0,Inputs_Actuals!AA96/(Inputs_Actuals!AA30*Contract_Register!$K$28+Inputs_Actuals!AA63*Contract_Register!$L$28)),Z106*IF(AND(Assumptions!AA$201&gt;Contract_Register!$T$28,MOD(Assumptions!AA$201-Contract_Register!$T$28,12)=0),(1+Assumptions!$F$179)*IF(MOD(Assumptions!AA$201-Contract_Register!$T$28,Assumptions!$C$90)=0,1+Assumptions!$F$180,1),1))</f>
        <v>1.0609</v>
      </c>
      <c r="AB106" s="107" t="n">
        <f aca="false">IF(AB$5="A",IF((Inputs_Actuals!AB30*Contract_Register!$K$28+Inputs_Actuals!AB63*Contract_Register!$L$28)=0,0,Inputs_Actuals!AB96/(Inputs_Actuals!AB30*Contract_Register!$K$28+Inputs_Actuals!AB63*Contract_Register!$L$28)),AA106*IF(AND(Assumptions!AB$201&gt;Contract_Register!$T$28,MOD(Assumptions!AB$201-Contract_Register!$T$28,12)=0),(1+Assumptions!$F$179)*IF(MOD(Assumptions!AB$201-Contract_Register!$T$28,Assumptions!$C$90)=0,1+Assumptions!$F$180,1),1))</f>
        <v>1.0609</v>
      </c>
    </row>
    <row r="107" customFormat="false" ht="15" hidden="false" customHeight="false" outlineLevel="0" collapsed="false">
      <c r="A107" s="27" t="s">
        <v>835</v>
      </c>
      <c r="B107" s="63" t="s">
        <v>851</v>
      </c>
      <c r="C107" s="121" t="n">
        <f aca="false">P107</f>
        <v>1.03</v>
      </c>
      <c r="D107" s="121" t="n">
        <f aca="false">AB107</f>
        <v>1.0609</v>
      </c>
      <c r="E107" s="107" t="n">
        <f aca="false">IF(E$5="A",IF((Inputs_Actuals!E31*Contract_Register!$K$29+Inputs_Actuals!E64*Contract_Register!$L$29)=0,0,Inputs_Actuals!E97/(Inputs_Actuals!E31*Contract_Register!$K$29+Inputs_Actuals!E64*Contract_Register!$L$29)),1*IF(AND(Assumptions!E$201&gt;Contract_Register!$T$29,MOD(Assumptions!E$201-Contract_Register!$T$29,12)=0),(1+Assumptions!$F$179)*IF(MOD(Assumptions!E$201-Contract_Register!$T$29,Assumptions!$C$90)=0,1+Assumptions!$F$180,1),1))</f>
        <v>1</v>
      </c>
      <c r="F107" s="107" t="n">
        <f aca="false">IF(F$5="A",IF((Inputs_Actuals!F31*Contract_Register!$K$29+Inputs_Actuals!F64*Contract_Register!$L$29)=0,0,Inputs_Actuals!F97/(Inputs_Actuals!F31*Contract_Register!$K$29+Inputs_Actuals!F64*Contract_Register!$L$29)),E107*IF(AND(Assumptions!F$201&gt;Contract_Register!$T$29,MOD(Assumptions!F$201-Contract_Register!$T$29,12)=0),(1+Assumptions!$F$179)*IF(MOD(Assumptions!F$201-Contract_Register!$T$29,Assumptions!$C$90)=0,1+Assumptions!$F$180,1),1))</f>
        <v>1</v>
      </c>
      <c r="G107" s="107" t="n">
        <f aca="false">IF(G$5="A",IF((Inputs_Actuals!G31*Contract_Register!$K$29+Inputs_Actuals!G64*Contract_Register!$L$29)=0,0,Inputs_Actuals!G97/(Inputs_Actuals!G31*Contract_Register!$K$29+Inputs_Actuals!G64*Contract_Register!$L$29)),F107*IF(AND(Assumptions!G$201&gt;Contract_Register!$T$29,MOD(Assumptions!G$201-Contract_Register!$T$29,12)=0),(1+Assumptions!$F$179)*IF(MOD(Assumptions!G$201-Contract_Register!$T$29,Assumptions!$C$90)=0,1+Assumptions!$F$180,1),1))</f>
        <v>1</v>
      </c>
      <c r="H107" s="107" t="n">
        <f aca="false">IF(H$5="A",IF((Inputs_Actuals!H31*Contract_Register!$K$29+Inputs_Actuals!H64*Contract_Register!$L$29)=0,0,Inputs_Actuals!H97/(Inputs_Actuals!H31*Contract_Register!$K$29+Inputs_Actuals!H64*Contract_Register!$L$29)),G107*IF(AND(Assumptions!H$201&gt;Contract_Register!$T$29,MOD(Assumptions!H$201-Contract_Register!$T$29,12)=0),(1+Assumptions!$F$179)*IF(MOD(Assumptions!H$201-Contract_Register!$T$29,Assumptions!$C$90)=0,1+Assumptions!$F$180,1),1))</f>
        <v>1</v>
      </c>
      <c r="I107" s="107" t="n">
        <f aca="false">IF(I$5="A",IF((Inputs_Actuals!I31*Contract_Register!$K$29+Inputs_Actuals!I64*Contract_Register!$L$29)=0,0,Inputs_Actuals!I97/(Inputs_Actuals!I31*Contract_Register!$K$29+Inputs_Actuals!I64*Contract_Register!$L$29)),H107*IF(AND(Assumptions!I$201&gt;Contract_Register!$T$29,MOD(Assumptions!I$201-Contract_Register!$T$29,12)=0),(1+Assumptions!$F$179)*IF(MOD(Assumptions!I$201-Contract_Register!$T$29,Assumptions!$C$90)=0,1+Assumptions!$F$180,1),1))</f>
        <v>1</v>
      </c>
      <c r="J107" s="107" t="n">
        <f aca="false">IF(J$5="A",IF((Inputs_Actuals!J31*Contract_Register!$K$29+Inputs_Actuals!J64*Contract_Register!$L$29)=0,0,Inputs_Actuals!J97/(Inputs_Actuals!J31*Contract_Register!$K$29+Inputs_Actuals!J64*Contract_Register!$L$29)),I107*IF(AND(Assumptions!J$201&gt;Contract_Register!$T$29,MOD(Assumptions!J$201-Contract_Register!$T$29,12)=0),(1+Assumptions!$F$179)*IF(MOD(Assumptions!J$201-Contract_Register!$T$29,Assumptions!$C$90)=0,1+Assumptions!$F$180,1),1))</f>
        <v>1</v>
      </c>
      <c r="K107" s="107" t="n">
        <f aca="false">IF(K$5="A",IF((Inputs_Actuals!K31*Contract_Register!$K$29+Inputs_Actuals!K64*Contract_Register!$L$29)=0,0,Inputs_Actuals!K97/(Inputs_Actuals!K31*Contract_Register!$K$29+Inputs_Actuals!K64*Contract_Register!$L$29)),J107*IF(AND(Assumptions!K$201&gt;Contract_Register!$T$29,MOD(Assumptions!K$201-Contract_Register!$T$29,12)=0),(1+Assumptions!$F$179)*IF(MOD(Assumptions!K$201-Contract_Register!$T$29,Assumptions!$C$90)=0,1+Assumptions!$F$180,1),1))</f>
        <v>1</v>
      </c>
      <c r="L107" s="107" t="n">
        <f aca="false">IF(L$5="A",IF((Inputs_Actuals!L31*Contract_Register!$K$29+Inputs_Actuals!L64*Contract_Register!$L$29)=0,0,Inputs_Actuals!L97/(Inputs_Actuals!L31*Contract_Register!$K$29+Inputs_Actuals!L64*Contract_Register!$L$29)),K107*IF(AND(Assumptions!L$201&gt;Contract_Register!$T$29,MOD(Assumptions!L$201-Contract_Register!$T$29,12)=0),(1+Assumptions!$F$179)*IF(MOD(Assumptions!L$201-Contract_Register!$T$29,Assumptions!$C$90)=0,1+Assumptions!$F$180,1),1))</f>
        <v>1</v>
      </c>
      <c r="M107" s="107" t="n">
        <f aca="false">IF(M$5="A",IF((Inputs_Actuals!M31*Contract_Register!$K$29+Inputs_Actuals!M64*Contract_Register!$L$29)=0,0,Inputs_Actuals!M97/(Inputs_Actuals!M31*Contract_Register!$K$29+Inputs_Actuals!M64*Contract_Register!$L$29)),L107*IF(AND(Assumptions!M$201&gt;Contract_Register!$T$29,MOD(Assumptions!M$201-Contract_Register!$T$29,12)=0),(1+Assumptions!$F$179)*IF(MOD(Assumptions!M$201-Contract_Register!$T$29,Assumptions!$C$90)=0,1+Assumptions!$F$180,1),1))</f>
        <v>1.03</v>
      </c>
      <c r="N107" s="107" t="n">
        <f aca="false">IF(N$5="A",IF((Inputs_Actuals!N31*Contract_Register!$K$29+Inputs_Actuals!N64*Contract_Register!$L$29)=0,0,Inputs_Actuals!N97/(Inputs_Actuals!N31*Contract_Register!$K$29+Inputs_Actuals!N64*Contract_Register!$L$29)),M107*IF(AND(Assumptions!N$201&gt;Contract_Register!$T$29,MOD(Assumptions!N$201-Contract_Register!$T$29,12)=0),(1+Assumptions!$F$179)*IF(MOD(Assumptions!N$201-Contract_Register!$T$29,Assumptions!$C$90)=0,1+Assumptions!$F$180,1),1))</f>
        <v>1.03</v>
      </c>
      <c r="O107" s="107" t="n">
        <f aca="false">IF(O$5="A",IF((Inputs_Actuals!O31*Contract_Register!$K$29+Inputs_Actuals!O64*Contract_Register!$L$29)=0,0,Inputs_Actuals!O97/(Inputs_Actuals!O31*Contract_Register!$K$29+Inputs_Actuals!O64*Contract_Register!$L$29)),N107*IF(AND(Assumptions!O$201&gt;Contract_Register!$T$29,MOD(Assumptions!O$201-Contract_Register!$T$29,12)=0),(1+Assumptions!$F$179)*IF(MOD(Assumptions!O$201-Contract_Register!$T$29,Assumptions!$C$90)=0,1+Assumptions!$F$180,1),1))</f>
        <v>1.03</v>
      </c>
      <c r="P107" s="107" t="n">
        <f aca="false">IF(P$5="A",IF((Inputs_Actuals!P31*Contract_Register!$K$29+Inputs_Actuals!P64*Contract_Register!$L$29)=0,0,Inputs_Actuals!P97/(Inputs_Actuals!P31*Contract_Register!$K$29+Inputs_Actuals!P64*Contract_Register!$L$29)),O107*IF(AND(Assumptions!P$201&gt;Contract_Register!$T$29,MOD(Assumptions!P$201-Contract_Register!$T$29,12)=0),(1+Assumptions!$F$179)*IF(MOD(Assumptions!P$201-Contract_Register!$T$29,Assumptions!$C$90)=0,1+Assumptions!$F$180,1),1))</f>
        <v>1.03</v>
      </c>
      <c r="Q107" s="107" t="n">
        <f aca="false">IF(Q$5="A",IF((Inputs_Actuals!Q31*Contract_Register!$K$29+Inputs_Actuals!Q64*Contract_Register!$L$29)=0,0,Inputs_Actuals!Q97/(Inputs_Actuals!Q31*Contract_Register!$K$29+Inputs_Actuals!Q64*Contract_Register!$L$29)),P107*IF(AND(Assumptions!Q$201&gt;Contract_Register!$T$29,MOD(Assumptions!Q$201-Contract_Register!$T$29,12)=0),(1+Assumptions!$F$179)*IF(MOD(Assumptions!Q$201-Contract_Register!$T$29,Assumptions!$C$90)=0,1+Assumptions!$F$180,1),1))</f>
        <v>1.03</v>
      </c>
      <c r="R107" s="107" t="n">
        <f aca="false">IF(R$5="A",IF((Inputs_Actuals!R31*Contract_Register!$K$29+Inputs_Actuals!R64*Contract_Register!$L$29)=0,0,Inputs_Actuals!R97/(Inputs_Actuals!R31*Contract_Register!$K$29+Inputs_Actuals!R64*Contract_Register!$L$29)),Q107*IF(AND(Assumptions!R$201&gt;Contract_Register!$T$29,MOD(Assumptions!R$201-Contract_Register!$T$29,12)=0),(1+Assumptions!$F$179)*IF(MOD(Assumptions!R$201-Contract_Register!$T$29,Assumptions!$C$90)=0,1+Assumptions!$F$180,1),1))</f>
        <v>1.03</v>
      </c>
      <c r="S107" s="107" t="n">
        <f aca="false">IF(S$5="A",IF((Inputs_Actuals!S31*Contract_Register!$K$29+Inputs_Actuals!S64*Contract_Register!$L$29)=0,0,Inputs_Actuals!S97/(Inputs_Actuals!S31*Contract_Register!$K$29+Inputs_Actuals!S64*Contract_Register!$L$29)),R107*IF(AND(Assumptions!S$201&gt;Contract_Register!$T$29,MOD(Assumptions!S$201-Contract_Register!$T$29,12)=0),(1+Assumptions!$F$179)*IF(MOD(Assumptions!S$201-Contract_Register!$T$29,Assumptions!$C$90)=0,1+Assumptions!$F$180,1),1))</f>
        <v>1.03</v>
      </c>
      <c r="T107" s="107" t="n">
        <f aca="false">IF(T$5="A",IF((Inputs_Actuals!T31*Contract_Register!$K$29+Inputs_Actuals!T64*Contract_Register!$L$29)=0,0,Inputs_Actuals!T97/(Inputs_Actuals!T31*Contract_Register!$K$29+Inputs_Actuals!T64*Contract_Register!$L$29)),S107*IF(AND(Assumptions!T$201&gt;Contract_Register!$T$29,MOD(Assumptions!T$201-Contract_Register!$T$29,12)=0),(1+Assumptions!$F$179)*IF(MOD(Assumptions!T$201-Contract_Register!$T$29,Assumptions!$C$90)=0,1+Assumptions!$F$180,1),1))</f>
        <v>1.03</v>
      </c>
      <c r="U107" s="107" t="n">
        <f aca="false">IF(U$5="A",IF((Inputs_Actuals!U31*Contract_Register!$K$29+Inputs_Actuals!U64*Contract_Register!$L$29)=0,0,Inputs_Actuals!U97/(Inputs_Actuals!U31*Contract_Register!$K$29+Inputs_Actuals!U64*Contract_Register!$L$29)),T107*IF(AND(Assumptions!U$201&gt;Contract_Register!$T$29,MOD(Assumptions!U$201-Contract_Register!$T$29,12)=0),(1+Assumptions!$F$179)*IF(MOD(Assumptions!U$201-Contract_Register!$T$29,Assumptions!$C$90)=0,1+Assumptions!$F$180,1),1))</f>
        <v>1.03</v>
      </c>
      <c r="V107" s="107" t="n">
        <f aca="false">IF(V$5="A",IF((Inputs_Actuals!V31*Contract_Register!$K$29+Inputs_Actuals!V64*Contract_Register!$L$29)=0,0,Inputs_Actuals!V97/(Inputs_Actuals!V31*Contract_Register!$K$29+Inputs_Actuals!V64*Contract_Register!$L$29)),U107*IF(AND(Assumptions!V$201&gt;Contract_Register!$T$29,MOD(Assumptions!V$201-Contract_Register!$T$29,12)=0),(1+Assumptions!$F$179)*IF(MOD(Assumptions!V$201-Contract_Register!$T$29,Assumptions!$C$90)=0,1+Assumptions!$F$180,1),1))</f>
        <v>1.03</v>
      </c>
      <c r="W107" s="107" t="n">
        <f aca="false">IF(W$5="A",IF((Inputs_Actuals!W31*Contract_Register!$K$29+Inputs_Actuals!W64*Contract_Register!$L$29)=0,0,Inputs_Actuals!W97/(Inputs_Actuals!W31*Contract_Register!$K$29+Inputs_Actuals!W64*Contract_Register!$L$29)),V107*IF(AND(Assumptions!W$201&gt;Contract_Register!$T$29,MOD(Assumptions!W$201-Contract_Register!$T$29,12)=0),(1+Assumptions!$F$179)*IF(MOD(Assumptions!W$201-Contract_Register!$T$29,Assumptions!$C$90)=0,1+Assumptions!$F$180,1),1))</f>
        <v>1.03</v>
      </c>
      <c r="X107" s="107" t="n">
        <f aca="false">IF(X$5="A",IF((Inputs_Actuals!X31*Contract_Register!$K$29+Inputs_Actuals!X64*Contract_Register!$L$29)=0,0,Inputs_Actuals!X97/(Inputs_Actuals!X31*Contract_Register!$K$29+Inputs_Actuals!X64*Contract_Register!$L$29)),W107*IF(AND(Assumptions!X$201&gt;Contract_Register!$T$29,MOD(Assumptions!X$201-Contract_Register!$T$29,12)=0),(1+Assumptions!$F$179)*IF(MOD(Assumptions!X$201-Contract_Register!$T$29,Assumptions!$C$90)=0,1+Assumptions!$F$180,1),1))</f>
        <v>1.03</v>
      </c>
      <c r="Y107" s="107" t="n">
        <f aca="false">IF(Y$5="A",IF((Inputs_Actuals!Y31*Contract_Register!$K$29+Inputs_Actuals!Y64*Contract_Register!$L$29)=0,0,Inputs_Actuals!Y97/(Inputs_Actuals!Y31*Contract_Register!$K$29+Inputs_Actuals!Y64*Contract_Register!$L$29)),X107*IF(AND(Assumptions!Y$201&gt;Contract_Register!$T$29,MOD(Assumptions!Y$201-Contract_Register!$T$29,12)=0),(1+Assumptions!$F$179)*IF(MOD(Assumptions!Y$201-Contract_Register!$T$29,Assumptions!$C$90)=0,1+Assumptions!$F$180,1),1))</f>
        <v>1.0609</v>
      </c>
      <c r="Z107" s="107" t="n">
        <f aca="false">IF(Z$5="A",IF((Inputs_Actuals!Z31*Contract_Register!$K$29+Inputs_Actuals!Z64*Contract_Register!$L$29)=0,0,Inputs_Actuals!Z97/(Inputs_Actuals!Z31*Contract_Register!$K$29+Inputs_Actuals!Z64*Contract_Register!$L$29)),Y107*IF(AND(Assumptions!Z$201&gt;Contract_Register!$T$29,MOD(Assumptions!Z$201-Contract_Register!$T$29,12)=0),(1+Assumptions!$F$179)*IF(MOD(Assumptions!Z$201-Contract_Register!$T$29,Assumptions!$C$90)=0,1+Assumptions!$F$180,1),1))</f>
        <v>1.0609</v>
      </c>
      <c r="AA107" s="107" t="n">
        <f aca="false">IF(AA$5="A",IF((Inputs_Actuals!AA31*Contract_Register!$K$29+Inputs_Actuals!AA64*Contract_Register!$L$29)=0,0,Inputs_Actuals!AA97/(Inputs_Actuals!AA31*Contract_Register!$K$29+Inputs_Actuals!AA64*Contract_Register!$L$29)),Z107*IF(AND(Assumptions!AA$201&gt;Contract_Register!$T$29,MOD(Assumptions!AA$201-Contract_Register!$T$29,12)=0),(1+Assumptions!$F$179)*IF(MOD(Assumptions!AA$201-Contract_Register!$T$29,Assumptions!$C$90)=0,1+Assumptions!$F$180,1),1))</f>
        <v>1.0609</v>
      </c>
      <c r="AB107" s="107" t="n">
        <f aca="false">IF(AB$5="A",IF((Inputs_Actuals!AB31*Contract_Register!$K$29+Inputs_Actuals!AB64*Contract_Register!$L$29)=0,0,Inputs_Actuals!AB97/(Inputs_Actuals!AB31*Contract_Register!$K$29+Inputs_Actuals!AB64*Contract_Register!$L$29)),AA107*IF(AND(Assumptions!AB$201&gt;Contract_Register!$T$29,MOD(Assumptions!AB$201-Contract_Register!$T$29,12)=0),(1+Assumptions!$F$179)*IF(MOD(Assumptions!AB$201-Contract_Register!$T$29,Assumptions!$C$90)=0,1+Assumptions!$F$180,1),1))</f>
        <v>1.0609</v>
      </c>
    </row>
    <row r="108" customFormat="false" ht="15" hidden="false" customHeight="false" outlineLevel="0" collapsed="false">
      <c r="A108" s="27" t="s">
        <v>836</v>
      </c>
      <c r="B108" s="63" t="s">
        <v>851</v>
      </c>
      <c r="C108" s="121" t="n">
        <f aca="false">P108</f>
        <v>0</v>
      </c>
      <c r="D108" s="121" t="n">
        <f aca="false">AB108</f>
        <v>0</v>
      </c>
      <c r="E108" s="107" t="n">
        <f aca="false">IF(E$5="A",IF((Inputs_Actuals!E32*Contract_Register!$K$30+Inputs_Actuals!E65*Contract_Register!$L$30)=0,0,Inputs_Actuals!E98/(Inputs_Actuals!E32*Contract_Register!$K$30+Inputs_Actuals!E65*Contract_Register!$L$30)),1*IF(AND(Assumptions!E$201&gt;Contract_Register!$T$30,MOD(Assumptions!E$201-Contract_Register!$T$30,12)=0),(1+Assumptions!$F$179)*IF(MOD(Assumptions!E$201-Contract_Register!$T$30,Assumptions!$C$90)=0,1+Assumptions!$F$180,1),1))</f>
        <v>1</v>
      </c>
      <c r="F108" s="107" t="n">
        <f aca="false">IF(F$5="A",IF((Inputs_Actuals!F32*Contract_Register!$K$30+Inputs_Actuals!F65*Contract_Register!$L$30)=0,0,Inputs_Actuals!F98/(Inputs_Actuals!F32*Contract_Register!$K$30+Inputs_Actuals!F65*Contract_Register!$L$30)),E108*IF(AND(Assumptions!F$201&gt;Contract_Register!$T$30,MOD(Assumptions!F$201-Contract_Register!$T$30,12)=0),(1+Assumptions!$F$179)*IF(MOD(Assumptions!F$201-Contract_Register!$T$30,Assumptions!$C$90)=0,1+Assumptions!$F$180,1),1))</f>
        <v>1</v>
      </c>
      <c r="G108" s="107" t="n">
        <f aca="false">IF(G$5="A",IF((Inputs_Actuals!G32*Contract_Register!$K$30+Inputs_Actuals!G65*Contract_Register!$L$30)=0,0,Inputs_Actuals!G98/(Inputs_Actuals!G32*Contract_Register!$K$30+Inputs_Actuals!G65*Contract_Register!$L$30)),F108*IF(AND(Assumptions!G$201&gt;Contract_Register!$T$30,MOD(Assumptions!G$201-Contract_Register!$T$30,12)=0),(1+Assumptions!$F$179)*IF(MOD(Assumptions!G$201-Contract_Register!$T$30,Assumptions!$C$90)=0,1+Assumptions!$F$180,1),1))</f>
        <v>1</v>
      </c>
      <c r="H108" s="107" t="n">
        <f aca="false">IF(H$5="A",IF((Inputs_Actuals!H32*Contract_Register!$K$30+Inputs_Actuals!H65*Contract_Register!$L$30)=0,0,Inputs_Actuals!H98/(Inputs_Actuals!H32*Contract_Register!$K$30+Inputs_Actuals!H65*Contract_Register!$L$30)),G108*IF(AND(Assumptions!H$201&gt;Contract_Register!$T$30,MOD(Assumptions!H$201-Contract_Register!$T$30,12)=0),(1+Assumptions!$F$179)*IF(MOD(Assumptions!H$201-Contract_Register!$T$30,Assumptions!$C$90)=0,1+Assumptions!$F$180,1),1))</f>
        <v>1</v>
      </c>
      <c r="I108" s="107" t="n">
        <f aca="false">IF(I$5="A",IF((Inputs_Actuals!I32*Contract_Register!$K$30+Inputs_Actuals!I65*Contract_Register!$L$30)=0,0,Inputs_Actuals!I98/(Inputs_Actuals!I32*Contract_Register!$K$30+Inputs_Actuals!I65*Contract_Register!$L$30)),H108*IF(AND(Assumptions!I$201&gt;Contract_Register!$T$30,MOD(Assumptions!I$201-Contract_Register!$T$30,12)=0),(1+Assumptions!$F$179)*IF(MOD(Assumptions!I$201-Contract_Register!$T$30,Assumptions!$C$90)=0,1+Assumptions!$F$180,1),1))</f>
        <v>0</v>
      </c>
      <c r="J108" s="107" t="n">
        <f aca="false">IF(J$5="A",IF((Inputs_Actuals!J32*Contract_Register!$K$30+Inputs_Actuals!J65*Contract_Register!$L$30)=0,0,Inputs_Actuals!J98/(Inputs_Actuals!J32*Contract_Register!$K$30+Inputs_Actuals!J65*Contract_Register!$L$30)),I108*IF(AND(Assumptions!J$201&gt;Contract_Register!$T$30,MOD(Assumptions!J$201-Contract_Register!$T$30,12)=0),(1+Assumptions!$F$179)*IF(MOD(Assumptions!J$201-Contract_Register!$T$30,Assumptions!$C$90)=0,1+Assumptions!$F$180,1),1))</f>
        <v>0</v>
      </c>
      <c r="K108" s="107" t="n">
        <f aca="false">IF(K$5="A",IF((Inputs_Actuals!K32*Contract_Register!$K$30+Inputs_Actuals!K65*Contract_Register!$L$30)=0,0,Inputs_Actuals!K98/(Inputs_Actuals!K32*Contract_Register!$K$30+Inputs_Actuals!K65*Contract_Register!$L$30)),J108*IF(AND(Assumptions!K$201&gt;Contract_Register!$T$30,MOD(Assumptions!K$201-Contract_Register!$T$30,12)=0),(1+Assumptions!$F$179)*IF(MOD(Assumptions!K$201-Contract_Register!$T$30,Assumptions!$C$90)=0,1+Assumptions!$F$180,1),1))</f>
        <v>0</v>
      </c>
      <c r="L108" s="107" t="n">
        <f aca="false">IF(L$5="A",IF((Inputs_Actuals!L32*Contract_Register!$K$30+Inputs_Actuals!L65*Contract_Register!$L$30)=0,0,Inputs_Actuals!L98/(Inputs_Actuals!L32*Contract_Register!$K$30+Inputs_Actuals!L65*Contract_Register!$L$30)),K108*IF(AND(Assumptions!L$201&gt;Contract_Register!$T$30,MOD(Assumptions!L$201-Contract_Register!$T$30,12)=0),(1+Assumptions!$F$179)*IF(MOD(Assumptions!L$201-Contract_Register!$T$30,Assumptions!$C$90)=0,1+Assumptions!$F$180,1),1))</f>
        <v>0</v>
      </c>
      <c r="M108" s="107" t="n">
        <f aca="false">IF(M$5="A",IF((Inputs_Actuals!M32*Contract_Register!$K$30+Inputs_Actuals!M65*Contract_Register!$L$30)=0,0,Inputs_Actuals!M98/(Inputs_Actuals!M32*Contract_Register!$K$30+Inputs_Actuals!M65*Contract_Register!$L$30)),L108*IF(AND(Assumptions!M$201&gt;Contract_Register!$T$30,MOD(Assumptions!M$201-Contract_Register!$T$30,12)=0),(1+Assumptions!$F$179)*IF(MOD(Assumptions!M$201-Contract_Register!$T$30,Assumptions!$C$90)=0,1+Assumptions!$F$180,1),1))</f>
        <v>0</v>
      </c>
      <c r="N108" s="107" t="n">
        <f aca="false">IF(N$5="A",IF((Inputs_Actuals!N32*Contract_Register!$K$30+Inputs_Actuals!N65*Contract_Register!$L$30)=0,0,Inputs_Actuals!N98/(Inputs_Actuals!N32*Contract_Register!$K$30+Inputs_Actuals!N65*Contract_Register!$L$30)),M108*IF(AND(Assumptions!N$201&gt;Contract_Register!$T$30,MOD(Assumptions!N$201-Contract_Register!$T$30,12)=0),(1+Assumptions!$F$179)*IF(MOD(Assumptions!N$201-Contract_Register!$T$30,Assumptions!$C$90)=0,1+Assumptions!$F$180,1),1))</f>
        <v>0</v>
      </c>
      <c r="O108" s="107" t="n">
        <f aca="false">IF(O$5="A",IF((Inputs_Actuals!O32*Contract_Register!$K$30+Inputs_Actuals!O65*Contract_Register!$L$30)=0,0,Inputs_Actuals!O98/(Inputs_Actuals!O32*Contract_Register!$K$30+Inputs_Actuals!O65*Contract_Register!$L$30)),N108*IF(AND(Assumptions!O$201&gt;Contract_Register!$T$30,MOD(Assumptions!O$201-Contract_Register!$T$30,12)=0),(1+Assumptions!$F$179)*IF(MOD(Assumptions!O$201-Contract_Register!$T$30,Assumptions!$C$90)=0,1+Assumptions!$F$180,1),1))</f>
        <v>0</v>
      </c>
      <c r="P108" s="107" t="n">
        <f aca="false">IF(P$5="A",IF((Inputs_Actuals!P32*Contract_Register!$K$30+Inputs_Actuals!P65*Contract_Register!$L$30)=0,0,Inputs_Actuals!P98/(Inputs_Actuals!P32*Contract_Register!$K$30+Inputs_Actuals!P65*Contract_Register!$L$30)),O108*IF(AND(Assumptions!P$201&gt;Contract_Register!$T$30,MOD(Assumptions!P$201-Contract_Register!$T$30,12)=0),(1+Assumptions!$F$179)*IF(MOD(Assumptions!P$201-Contract_Register!$T$30,Assumptions!$C$90)=0,1+Assumptions!$F$180,1),1))</f>
        <v>0</v>
      </c>
      <c r="Q108" s="107" t="n">
        <f aca="false">IF(Q$5="A",IF((Inputs_Actuals!Q32*Contract_Register!$K$30+Inputs_Actuals!Q65*Contract_Register!$L$30)=0,0,Inputs_Actuals!Q98/(Inputs_Actuals!Q32*Contract_Register!$K$30+Inputs_Actuals!Q65*Contract_Register!$L$30)),P108*IF(AND(Assumptions!Q$201&gt;Contract_Register!$T$30,MOD(Assumptions!Q$201-Contract_Register!$T$30,12)=0),(1+Assumptions!$F$179)*IF(MOD(Assumptions!Q$201-Contract_Register!$T$30,Assumptions!$C$90)=0,1+Assumptions!$F$180,1),1))</f>
        <v>0</v>
      </c>
      <c r="R108" s="107" t="n">
        <f aca="false">IF(R$5="A",IF((Inputs_Actuals!R32*Contract_Register!$K$30+Inputs_Actuals!R65*Contract_Register!$L$30)=0,0,Inputs_Actuals!R98/(Inputs_Actuals!R32*Contract_Register!$K$30+Inputs_Actuals!R65*Contract_Register!$L$30)),Q108*IF(AND(Assumptions!R$201&gt;Contract_Register!$T$30,MOD(Assumptions!R$201-Contract_Register!$T$30,12)=0),(1+Assumptions!$F$179)*IF(MOD(Assumptions!R$201-Contract_Register!$T$30,Assumptions!$C$90)=0,1+Assumptions!$F$180,1),1))</f>
        <v>0</v>
      </c>
      <c r="S108" s="107" t="n">
        <f aca="false">IF(S$5="A",IF((Inputs_Actuals!S32*Contract_Register!$K$30+Inputs_Actuals!S65*Contract_Register!$L$30)=0,0,Inputs_Actuals!S98/(Inputs_Actuals!S32*Contract_Register!$K$30+Inputs_Actuals!S65*Contract_Register!$L$30)),R108*IF(AND(Assumptions!S$201&gt;Contract_Register!$T$30,MOD(Assumptions!S$201-Contract_Register!$T$30,12)=0),(1+Assumptions!$F$179)*IF(MOD(Assumptions!S$201-Contract_Register!$T$30,Assumptions!$C$90)=0,1+Assumptions!$F$180,1),1))</f>
        <v>0</v>
      </c>
      <c r="T108" s="107" t="n">
        <f aca="false">IF(T$5="A",IF((Inputs_Actuals!T32*Contract_Register!$K$30+Inputs_Actuals!T65*Contract_Register!$L$30)=0,0,Inputs_Actuals!T98/(Inputs_Actuals!T32*Contract_Register!$K$30+Inputs_Actuals!T65*Contract_Register!$L$30)),S108*IF(AND(Assumptions!T$201&gt;Contract_Register!$T$30,MOD(Assumptions!T$201-Contract_Register!$T$30,12)=0),(1+Assumptions!$F$179)*IF(MOD(Assumptions!T$201-Contract_Register!$T$30,Assumptions!$C$90)=0,1+Assumptions!$F$180,1),1))</f>
        <v>0</v>
      </c>
      <c r="U108" s="107" t="n">
        <f aca="false">IF(U$5="A",IF((Inputs_Actuals!U32*Contract_Register!$K$30+Inputs_Actuals!U65*Contract_Register!$L$30)=0,0,Inputs_Actuals!U98/(Inputs_Actuals!U32*Contract_Register!$K$30+Inputs_Actuals!U65*Contract_Register!$L$30)),T108*IF(AND(Assumptions!U$201&gt;Contract_Register!$T$30,MOD(Assumptions!U$201-Contract_Register!$T$30,12)=0),(1+Assumptions!$F$179)*IF(MOD(Assumptions!U$201-Contract_Register!$T$30,Assumptions!$C$90)=0,1+Assumptions!$F$180,1),1))</f>
        <v>0</v>
      </c>
      <c r="V108" s="107" t="n">
        <f aca="false">IF(V$5="A",IF((Inputs_Actuals!V32*Contract_Register!$K$30+Inputs_Actuals!V65*Contract_Register!$L$30)=0,0,Inputs_Actuals!V98/(Inputs_Actuals!V32*Contract_Register!$K$30+Inputs_Actuals!V65*Contract_Register!$L$30)),U108*IF(AND(Assumptions!V$201&gt;Contract_Register!$T$30,MOD(Assumptions!V$201-Contract_Register!$T$30,12)=0),(1+Assumptions!$F$179)*IF(MOD(Assumptions!V$201-Contract_Register!$T$30,Assumptions!$C$90)=0,1+Assumptions!$F$180,1),1))</f>
        <v>0</v>
      </c>
      <c r="W108" s="107" t="n">
        <f aca="false">IF(W$5="A",IF((Inputs_Actuals!W32*Contract_Register!$K$30+Inputs_Actuals!W65*Contract_Register!$L$30)=0,0,Inputs_Actuals!W98/(Inputs_Actuals!W32*Contract_Register!$K$30+Inputs_Actuals!W65*Contract_Register!$L$30)),V108*IF(AND(Assumptions!W$201&gt;Contract_Register!$T$30,MOD(Assumptions!W$201-Contract_Register!$T$30,12)=0),(1+Assumptions!$F$179)*IF(MOD(Assumptions!W$201-Contract_Register!$T$30,Assumptions!$C$90)=0,1+Assumptions!$F$180,1),1))</f>
        <v>0</v>
      </c>
      <c r="X108" s="107" t="n">
        <f aca="false">IF(X$5="A",IF((Inputs_Actuals!X32*Contract_Register!$K$30+Inputs_Actuals!X65*Contract_Register!$L$30)=0,0,Inputs_Actuals!X98/(Inputs_Actuals!X32*Contract_Register!$K$30+Inputs_Actuals!X65*Contract_Register!$L$30)),W108*IF(AND(Assumptions!X$201&gt;Contract_Register!$T$30,MOD(Assumptions!X$201-Contract_Register!$T$30,12)=0),(1+Assumptions!$F$179)*IF(MOD(Assumptions!X$201-Contract_Register!$T$30,Assumptions!$C$90)=0,1+Assumptions!$F$180,1),1))</f>
        <v>0</v>
      </c>
      <c r="Y108" s="107" t="n">
        <f aca="false">IF(Y$5="A",IF((Inputs_Actuals!Y32*Contract_Register!$K$30+Inputs_Actuals!Y65*Contract_Register!$L$30)=0,0,Inputs_Actuals!Y98/(Inputs_Actuals!Y32*Contract_Register!$K$30+Inputs_Actuals!Y65*Contract_Register!$L$30)),X108*IF(AND(Assumptions!Y$201&gt;Contract_Register!$T$30,MOD(Assumptions!Y$201-Contract_Register!$T$30,12)=0),(1+Assumptions!$F$179)*IF(MOD(Assumptions!Y$201-Contract_Register!$T$30,Assumptions!$C$90)=0,1+Assumptions!$F$180,1),1))</f>
        <v>0</v>
      </c>
      <c r="Z108" s="107" t="n">
        <f aca="false">IF(Z$5="A",IF((Inputs_Actuals!Z32*Contract_Register!$K$30+Inputs_Actuals!Z65*Contract_Register!$L$30)=0,0,Inputs_Actuals!Z98/(Inputs_Actuals!Z32*Contract_Register!$K$30+Inputs_Actuals!Z65*Contract_Register!$L$30)),Y108*IF(AND(Assumptions!Z$201&gt;Contract_Register!$T$30,MOD(Assumptions!Z$201-Contract_Register!$T$30,12)=0),(1+Assumptions!$F$179)*IF(MOD(Assumptions!Z$201-Contract_Register!$T$30,Assumptions!$C$90)=0,1+Assumptions!$F$180,1),1))</f>
        <v>0</v>
      </c>
      <c r="AA108" s="107" t="n">
        <f aca="false">IF(AA$5="A",IF((Inputs_Actuals!AA32*Contract_Register!$K$30+Inputs_Actuals!AA65*Contract_Register!$L$30)=0,0,Inputs_Actuals!AA98/(Inputs_Actuals!AA32*Contract_Register!$K$30+Inputs_Actuals!AA65*Contract_Register!$L$30)),Z108*IF(AND(Assumptions!AA$201&gt;Contract_Register!$T$30,MOD(Assumptions!AA$201-Contract_Register!$T$30,12)=0),(1+Assumptions!$F$179)*IF(MOD(Assumptions!AA$201-Contract_Register!$T$30,Assumptions!$C$90)=0,1+Assumptions!$F$180,1),1))</f>
        <v>0</v>
      </c>
      <c r="AB108" s="107" t="n">
        <f aca="false">IF(AB$5="A",IF((Inputs_Actuals!AB32*Contract_Register!$K$30+Inputs_Actuals!AB65*Contract_Register!$L$30)=0,0,Inputs_Actuals!AB98/(Inputs_Actuals!AB32*Contract_Register!$K$30+Inputs_Actuals!AB65*Contract_Register!$L$30)),AA108*IF(AND(Assumptions!AB$201&gt;Contract_Register!$T$30,MOD(Assumptions!AB$201-Contract_Register!$T$30,12)=0),(1+Assumptions!$F$179)*IF(MOD(Assumptions!AB$201-Contract_Register!$T$30,Assumptions!$C$90)=0,1+Assumptions!$F$180,1),1))</f>
        <v>0</v>
      </c>
    </row>
    <row r="109" customFormat="false" ht="15" hidden="false" customHeight="false" outlineLevel="0" collapsed="false">
      <c r="A109" s="27" t="s">
        <v>837</v>
      </c>
      <c r="B109" s="63" t="s">
        <v>851</v>
      </c>
      <c r="C109" s="121" t="n">
        <f aca="false">P109</f>
        <v>1.02599978158786</v>
      </c>
      <c r="D109" s="121" t="n">
        <f aca="false">AB109</f>
        <v>1.05677977503549</v>
      </c>
      <c r="E109" s="107" t="n">
        <f aca="false">IF(E$5="A",IF((Inputs_Actuals!E33*Contract_Register!$K$31+Inputs_Actuals!E66*Contract_Register!$L$31)=0,0,Inputs_Actuals!E99/(Inputs_Actuals!E33*Contract_Register!$K$31+Inputs_Actuals!E66*Contract_Register!$L$31)),1*IF(AND(Assumptions!E$201&gt;Contract_Register!$T$31,MOD(Assumptions!E$201-Contract_Register!$T$31,12)=0),(1+Assumptions!$F$179)*IF(MOD(Assumptions!E$201-Contract_Register!$T$31,Assumptions!$C$90)=0,1+Assumptions!$F$180,1),1))</f>
        <v>1</v>
      </c>
      <c r="F109" s="107" t="n">
        <f aca="false">IF(F$5="A",IF((Inputs_Actuals!F33*Contract_Register!$K$31+Inputs_Actuals!F66*Contract_Register!$L$31)=0,0,Inputs_Actuals!F99/(Inputs_Actuals!F33*Contract_Register!$K$31+Inputs_Actuals!F66*Contract_Register!$L$31)),E109*IF(AND(Assumptions!F$201&gt;Contract_Register!$T$31,MOD(Assumptions!F$201-Contract_Register!$T$31,12)=0),(1+Assumptions!$F$179)*IF(MOD(Assumptions!F$201-Contract_Register!$T$31,Assumptions!$C$90)=0,1+Assumptions!$F$180,1),1))</f>
        <v>1</v>
      </c>
      <c r="G109" s="107" t="n">
        <f aca="false">IF(G$5="A",IF((Inputs_Actuals!G33*Contract_Register!$K$31+Inputs_Actuals!G66*Contract_Register!$L$31)=0,0,Inputs_Actuals!G99/(Inputs_Actuals!G33*Contract_Register!$K$31+Inputs_Actuals!G66*Contract_Register!$L$31)),F109*IF(AND(Assumptions!G$201&gt;Contract_Register!$T$31,MOD(Assumptions!G$201-Contract_Register!$T$31,12)=0),(1+Assumptions!$F$179)*IF(MOD(Assumptions!G$201-Contract_Register!$T$31,Assumptions!$C$90)=0,1+Assumptions!$F$180,1),1))</f>
        <v>1</v>
      </c>
      <c r="H109" s="107" t="n">
        <f aca="false">IF(H$5="A",IF((Inputs_Actuals!H33*Contract_Register!$K$31+Inputs_Actuals!H66*Contract_Register!$L$31)=0,0,Inputs_Actuals!H99/(Inputs_Actuals!H33*Contract_Register!$K$31+Inputs_Actuals!H66*Contract_Register!$L$31)),G109*IF(AND(Assumptions!H$201&gt;Contract_Register!$T$31,MOD(Assumptions!H$201-Contract_Register!$T$31,12)=0),(1+Assumptions!$F$179)*IF(MOD(Assumptions!H$201-Contract_Register!$T$31,Assumptions!$C$90)=0,1+Assumptions!$F$180,1),1))</f>
        <v>1.026</v>
      </c>
      <c r="I109" s="107" t="n">
        <f aca="false">IF(I$5="A",IF((Inputs_Actuals!I33*Contract_Register!$K$31+Inputs_Actuals!I66*Contract_Register!$L$31)=0,0,Inputs_Actuals!I99/(Inputs_Actuals!I33*Contract_Register!$K$31+Inputs_Actuals!I66*Contract_Register!$L$31)),H109*IF(AND(Assumptions!I$201&gt;Contract_Register!$T$31,MOD(Assumptions!I$201-Contract_Register!$T$31,12)=0),(1+Assumptions!$F$179)*IF(MOD(Assumptions!I$201-Contract_Register!$T$31,Assumptions!$C$90)=0,1+Assumptions!$F$180,1),1))</f>
        <v>1.02599977795048</v>
      </c>
      <c r="J109" s="107" t="n">
        <f aca="false">IF(J$5="A",IF((Inputs_Actuals!J33*Contract_Register!$K$31+Inputs_Actuals!J66*Contract_Register!$L$31)=0,0,Inputs_Actuals!J99/(Inputs_Actuals!J33*Contract_Register!$K$31+Inputs_Actuals!J66*Contract_Register!$L$31)),I109*IF(AND(Assumptions!J$201&gt;Contract_Register!$T$31,MOD(Assumptions!J$201-Contract_Register!$T$31,12)=0),(1+Assumptions!$F$179)*IF(MOD(Assumptions!J$201-Contract_Register!$T$31,Assumptions!$C$90)=0,1+Assumptions!$F$180,1),1))</f>
        <v>1.02599977795048</v>
      </c>
      <c r="K109" s="107" t="n">
        <f aca="false">IF(K$5="A",IF((Inputs_Actuals!K33*Contract_Register!$K$31+Inputs_Actuals!K66*Contract_Register!$L$31)=0,0,Inputs_Actuals!K99/(Inputs_Actuals!K33*Contract_Register!$K$31+Inputs_Actuals!K66*Contract_Register!$L$31)),J109*IF(AND(Assumptions!K$201&gt;Contract_Register!$T$31,MOD(Assumptions!K$201-Contract_Register!$T$31,12)=0),(1+Assumptions!$F$179)*IF(MOD(Assumptions!K$201-Contract_Register!$T$31,Assumptions!$C$90)=0,1+Assumptions!$F$180,1),1))</f>
        <v>1.02599956111477</v>
      </c>
      <c r="L109" s="107" t="n">
        <f aca="false">IF(L$5="A",IF((Inputs_Actuals!L33*Contract_Register!$K$31+Inputs_Actuals!L66*Contract_Register!$L$31)=0,0,Inputs_Actuals!L99/(Inputs_Actuals!L33*Contract_Register!$K$31+Inputs_Actuals!L66*Contract_Register!$L$31)),K109*IF(AND(Assumptions!L$201&gt;Contract_Register!$T$31,MOD(Assumptions!L$201-Contract_Register!$T$31,12)=0),(1+Assumptions!$F$179)*IF(MOD(Assumptions!L$201-Contract_Register!$T$31,Assumptions!$C$90)=0,1+Assumptions!$F$180,1),1))</f>
        <v>1.02599978158786</v>
      </c>
      <c r="M109" s="107" t="n">
        <f aca="false">IF(M$5="A",IF((Inputs_Actuals!M33*Contract_Register!$K$31+Inputs_Actuals!M66*Contract_Register!$L$31)=0,0,Inputs_Actuals!M99/(Inputs_Actuals!M33*Contract_Register!$K$31+Inputs_Actuals!M66*Contract_Register!$L$31)),L109*IF(AND(Assumptions!M$201&gt;Contract_Register!$T$31,MOD(Assumptions!M$201-Contract_Register!$T$31,12)=0),(1+Assumptions!$F$179)*IF(MOD(Assumptions!M$201-Contract_Register!$T$31,Assumptions!$C$90)=0,1+Assumptions!$F$180,1),1))</f>
        <v>1.02599978158786</v>
      </c>
      <c r="N109" s="107" t="n">
        <f aca="false">IF(N$5="A",IF((Inputs_Actuals!N33*Contract_Register!$K$31+Inputs_Actuals!N66*Contract_Register!$L$31)=0,0,Inputs_Actuals!N99/(Inputs_Actuals!N33*Contract_Register!$K$31+Inputs_Actuals!N66*Contract_Register!$L$31)),M109*IF(AND(Assumptions!N$201&gt;Contract_Register!$T$31,MOD(Assumptions!N$201-Contract_Register!$T$31,12)=0),(1+Assumptions!$F$179)*IF(MOD(Assumptions!N$201-Contract_Register!$T$31,Assumptions!$C$90)=0,1+Assumptions!$F$180,1),1))</f>
        <v>1.02599978158786</v>
      </c>
      <c r="O109" s="107" t="n">
        <f aca="false">IF(O$5="A",IF((Inputs_Actuals!O33*Contract_Register!$K$31+Inputs_Actuals!O66*Contract_Register!$L$31)=0,0,Inputs_Actuals!O99/(Inputs_Actuals!O33*Contract_Register!$K$31+Inputs_Actuals!O66*Contract_Register!$L$31)),N109*IF(AND(Assumptions!O$201&gt;Contract_Register!$T$31,MOD(Assumptions!O$201-Contract_Register!$T$31,12)=0),(1+Assumptions!$F$179)*IF(MOD(Assumptions!O$201-Contract_Register!$T$31,Assumptions!$C$90)=0,1+Assumptions!$F$180,1),1))</f>
        <v>1.02599978158786</v>
      </c>
      <c r="P109" s="107" t="n">
        <f aca="false">IF(P$5="A",IF((Inputs_Actuals!P33*Contract_Register!$K$31+Inputs_Actuals!P66*Contract_Register!$L$31)=0,0,Inputs_Actuals!P99/(Inputs_Actuals!P33*Contract_Register!$K$31+Inputs_Actuals!P66*Contract_Register!$L$31)),O109*IF(AND(Assumptions!P$201&gt;Contract_Register!$T$31,MOD(Assumptions!P$201-Contract_Register!$T$31,12)=0),(1+Assumptions!$F$179)*IF(MOD(Assumptions!P$201-Contract_Register!$T$31,Assumptions!$C$90)=0,1+Assumptions!$F$180,1),1))</f>
        <v>1.02599978158786</v>
      </c>
      <c r="Q109" s="107" t="n">
        <f aca="false">IF(Q$5="A",IF((Inputs_Actuals!Q33*Contract_Register!$K$31+Inputs_Actuals!Q66*Contract_Register!$L$31)=0,0,Inputs_Actuals!Q99/(Inputs_Actuals!Q33*Contract_Register!$K$31+Inputs_Actuals!Q66*Contract_Register!$L$31)),P109*IF(AND(Assumptions!Q$201&gt;Contract_Register!$T$31,MOD(Assumptions!Q$201-Contract_Register!$T$31,12)=0),(1+Assumptions!$F$179)*IF(MOD(Assumptions!Q$201-Contract_Register!$T$31,Assumptions!$C$90)=0,1+Assumptions!$F$180,1),1))</f>
        <v>1.02599978158786</v>
      </c>
      <c r="R109" s="107" t="n">
        <f aca="false">IF(R$5="A",IF((Inputs_Actuals!R33*Contract_Register!$K$31+Inputs_Actuals!R66*Contract_Register!$L$31)=0,0,Inputs_Actuals!R99/(Inputs_Actuals!R33*Contract_Register!$K$31+Inputs_Actuals!R66*Contract_Register!$L$31)),Q109*IF(AND(Assumptions!R$201&gt;Contract_Register!$T$31,MOD(Assumptions!R$201-Contract_Register!$T$31,12)=0),(1+Assumptions!$F$179)*IF(MOD(Assumptions!R$201-Contract_Register!$T$31,Assumptions!$C$90)=0,1+Assumptions!$F$180,1),1))</f>
        <v>1.02599978158786</v>
      </c>
      <c r="S109" s="107" t="n">
        <f aca="false">IF(S$5="A",IF((Inputs_Actuals!S33*Contract_Register!$K$31+Inputs_Actuals!S66*Contract_Register!$L$31)=0,0,Inputs_Actuals!S99/(Inputs_Actuals!S33*Contract_Register!$K$31+Inputs_Actuals!S66*Contract_Register!$L$31)),R109*IF(AND(Assumptions!S$201&gt;Contract_Register!$T$31,MOD(Assumptions!S$201-Contract_Register!$T$31,12)=0),(1+Assumptions!$F$179)*IF(MOD(Assumptions!S$201-Contract_Register!$T$31,Assumptions!$C$90)=0,1+Assumptions!$F$180,1),1))</f>
        <v>1.02599978158786</v>
      </c>
      <c r="T109" s="107" t="n">
        <f aca="false">IF(T$5="A",IF((Inputs_Actuals!T33*Contract_Register!$K$31+Inputs_Actuals!T66*Contract_Register!$L$31)=0,0,Inputs_Actuals!T99/(Inputs_Actuals!T33*Contract_Register!$K$31+Inputs_Actuals!T66*Contract_Register!$L$31)),S109*IF(AND(Assumptions!T$201&gt;Contract_Register!$T$31,MOD(Assumptions!T$201-Contract_Register!$T$31,12)=0),(1+Assumptions!$F$179)*IF(MOD(Assumptions!T$201-Contract_Register!$T$31,Assumptions!$C$90)=0,1+Assumptions!$F$180,1),1))</f>
        <v>1.05677977503549</v>
      </c>
      <c r="U109" s="107" t="n">
        <f aca="false">IF(U$5="A",IF((Inputs_Actuals!U33*Contract_Register!$K$31+Inputs_Actuals!U66*Contract_Register!$L$31)=0,0,Inputs_Actuals!U99/(Inputs_Actuals!U33*Contract_Register!$K$31+Inputs_Actuals!U66*Contract_Register!$L$31)),T109*IF(AND(Assumptions!U$201&gt;Contract_Register!$T$31,MOD(Assumptions!U$201-Contract_Register!$T$31,12)=0),(1+Assumptions!$F$179)*IF(MOD(Assumptions!U$201-Contract_Register!$T$31,Assumptions!$C$90)=0,1+Assumptions!$F$180,1),1))</f>
        <v>1.05677977503549</v>
      </c>
      <c r="V109" s="107" t="n">
        <f aca="false">IF(V$5="A",IF((Inputs_Actuals!V33*Contract_Register!$K$31+Inputs_Actuals!V66*Contract_Register!$L$31)=0,0,Inputs_Actuals!V99/(Inputs_Actuals!V33*Contract_Register!$K$31+Inputs_Actuals!V66*Contract_Register!$L$31)),U109*IF(AND(Assumptions!V$201&gt;Contract_Register!$T$31,MOD(Assumptions!V$201-Contract_Register!$T$31,12)=0),(1+Assumptions!$F$179)*IF(MOD(Assumptions!V$201-Contract_Register!$T$31,Assumptions!$C$90)=0,1+Assumptions!$F$180,1),1))</f>
        <v>1.05677977503549</v>
      </c>
      <c r="W109" s="107" t="n">
        <f aca="false">IF(W$5="A",IF((Inputs_Actuals!W33*Contract_Register!$K$31+Inputs_Actuals!W66*Contract_Register!$L$31)=0,0,Inputs_Actuals!W99/(Inputs_Actuals!W33*Contract_Register!$K$31+Inputs_Actuals!W66*Contract_Register!$L$31)),V109*IF(AND(Assumptions!W$201&gt;Contract_Register!$T$31,MOD(Assumptions!W$201-Contract_Register!$T$31,12)=0),(1+Assumptions!$F$179)*IF(MOD(Assumptions!W$201-Contract_Register!$T$31,Assumptions!$C$90)=0,1+Assumptions!$F$180,1),1))</f>
        <v>1.05677977503549</v>
      </c>
      <c r="X109" s="107" t="n">
        <f aca="false">IF(X$5="A",IF((Inputs_Actuals!X33*Contract_Register!$K$31+Inputs_Actuals!X66*Contract_Register!$L$31)=0,0,Inputs_Actuals!X99/(Inputs_Actuals!X33*Contract_Register!$K$31+Inputs_Actuals!X66*Contract_Register!$L$31)),W109*IF(AND(Assumptions!X$201&gt;Contract_Register!$T$31,MOD(Assumptions!X$201-Contract_Register!$T$31,12)=0),(1+Assumptions!$F$179)*IF(MOD(Assumptions!X$201-Contract_Register!$T$31,Assumptions!$C$90)=0,1+Assumptions!$F$180,1),1))</f>
        <v>1.05677977503549</v>
      </c>
      <c r="Y109" s="107" t="n">
        <f aca="false">IF(Y$5="A",IF((Inputs_Actuals!Y33*Contract_Register!$K$31+Inputs_Actuals!Y66*Contract_Register!$L$31)=0,0,Inputs_Actuals!Y99/(Inputs_Actuals!Y33*Contract_Register!$K$31+Inputs_Actuals!Y66*Contract_Register!$L$31)),X109*IF(AND(Assumptions!Y$201&gt;Contract_Register!$T$31,MOD(Assumptions!Y$201-Contract_Register!$T$31,12)=0),(1+Assumptions!$F$179)*IF(MOD(Assumptions!Y$201-Contract_Register!$T$31,Assumptions!$C$90)=0,1+Assumptions!$F$180,1),1))</f>
        <v>1.05677977503549</v>
      </c>
      <c r="Z109" s="107" t="n">
        <f aca="false">IF(Z$5="A",IF((Inputs_Actuals!Z33*Contract_Register!$K$31+Inputs_Actuals!Z66*Contract_Register!$L$31)=0,0,Inputs_Actuals!Z99/(Inputs_Actuals!Z33*Contract_Register!$K$31+Inputs_Actuals!Z66*Contract_Register!$L$31)),Y109*IF(AND(Assumptions!Z$201&gt;Contract_Register!$T$31,MOD(Assumptions!Z$201-Contract_Register!$T$31,12)=0),(1+Assumptions!$F$179)*IF(MOD(Assumptions!Z$201-Contract_Register!$T$31,Assumptions!$C$90)=0,1+Assumptions!$F$180,1),1))</f>
        <v>1.05677977503549</v>
      </c>
      <c r="AA109" s="107" t="n">
        <f aca="false">IF(AA$5="A",IF((Inputs_Actuals!AA33*Contract_Register!$K$31+Inputs_Actuals!AA66*Contract_Register!$L$31)=0,0,Inputs_Actuals!AA99/(Inputs_Actuals!AA33*Contract_Register!$K$31+Inputs_Actuals!AA66*Contract_Register!$L$31)),Z109*IF(AND(Assumptions!AA$201&gt;Contract_Register!$T$31,MOD(Assumptions!AA$201-Contract_Register!$T$31,12)=0),(1+Assumptions!$F$179)*IF(MOD(Assumptions!AA$201-Contract_Register!$T$31,Assumptions!$C$90)=0,1+Assumptions!$F$180,1),1))</f>
        <v>1.05677977503549</v>
      </c>
      <c r="AB109" s="107" t="n">
        <f aca="false">IF(AB$5="A",IF((Inputs_Actuals!AB33*Contract_Register!$K$31+Inputs_Actuals!AB66*Contract_Register!$L$31)=0,0,Inputs_Actuals!AB99/(Inputs_Actuals!AB33*Contract_Register!$K$31+Inputs_Actuals!AB66*Contract_Register!$L$31)),AA109*IF(AND(Assumptions!AB$201&gt;Contract_Register!$T$31,MOD(Assumptions!AB$201-Contract_Register!$T$31,12)=0),(1+Assumptions!$F$179)*IF(MOD(Assumptions!AB$201-Contract_Register!$T$31,Assumptions!$C$90)=0,1+Assumptions!$F$180,1),1))</f>
        <v>1.05677977503549</v>
      </c>
    </row>
    <row r="110" customFormat="false" ht="15" hidden="false" customHeight="false" outlineLevel="0" collapsed="false">
      <c r="A110" s="27" t="s">
        <v>838</v>
      </c>
      <c r="B110" s="63" t="s">
        <v>851</v>
      </c>
      <c r="C110" s="121" t="n">
        <f aca="false">P110</f>
        <v>1.02599968213605</v>
      </c>
      <c r="D110" s="121" t="n">
        <f aca="false">AB110</f>
        <v>1.05677967260013</v>
      </c>
      <c r="E110" s="107" t="n">
        <f aca="false">IF(E$5="A",IF((Inputs_Actuals!E34*Contract_Register!$K$32+Inputs_Actuals!E67*Contract_Register!$L$32)=0,0,Inputs_Actuals!E100/(Inputs_Actuals!E34*Contract_Register!$K$32+Inputs_Actuals!E67*Contract_Register!$L$32)),1*IF(AND(Assumptions!E$201&gt;Contract_Register!$T$32,MOD(Assumptions!E$201-Contract_Register!$T$32,12)=0),(1+Assumptions!$F$179)*IF(MOD(Assumptions!E$201-Contract_Register!$T$32,Assumptions!$C$90)=0,1+Assumptions!$F$180,1),1))</f>
        <v>1</v>
      </c>
      <c r="F110" s="107" t="n">
        <f aca="false">IF(F$5="A",IF((Inputs_Actuals!F34*Contract_Register!$K$32+Inputs_Actuals!F67*Contract_Register!$L$32)=0,0,Inputs_Actuals!F100/(Inputs_Actuals!F34*Contract_Register!$K$32+Inputs_Actuals!F67*Contract_Register!$L$32)),E110*IF(AND(Assumptions!F$201&gt;Contract_Register!$T$32,MOD(Assumptions!F$201-Contract_Register!$T$32,12)=0),(1+Assumptions!$F$179)*IF(MOD(Assumptions!F$201-Contract_Register!$T$32,Assumptions!$C$90)=0,1+Assumptions!$F$180,1),1))</f>
        <v>1</v>
      </c>
      <c r="G110" s="107" t="n">
        <f aca="false">IF(G$5="A",IF((Inputs_Actuals!G34*Contract_Register!$K$32+Inputs_Actuals!G67*Contract_Register!$L$32)=0,0,Inputs_Actuals!G100/(Inputs_Actuals!G34*Contract_Register!$K$32+Inputs_Actuals!G67*Contract_Register!$L$32)),F110*IF(AND(Assumptions!G$201&gt;Contract_Register!$T$32,MOD(Assumptions!G$201-Contract_Register!$T$32,12)=0),(1+Assumptions!$F$179)*IF(MOD(Assumptions!G$201-Contract_Register!$T$32,Assumptions!$C$90)=0,1+Assumptions!$F$180,1),1))</f>
        <v>1</v>
      </c>
      <c r="H110" s="107" t="n">
        <f aca="false">IF(H$5="A",IF((Inputs_Actuals!H34*Contract_Register!$K$32+Inputs_Actuals!H67*Contract_Register!$L$32)=0,0,Inputs_Actuals!H100/(Inputs_Actuals!H34*Contract_Register!$K$32+Inputs_Actuals!H67*Contract_Register!$L$32)),G110*IF(AND(Assumptions!H$201&gt;Contract_Register!$T$32,MOD(Assumptions!H$201-Contract_Register!$T$32,12)=0),(1+Assumptions!$F$179)*IF(MOD(Assumptions!H$201-Contract_Register!$T$32,Assumptions!$C$90)=0,1+Assumptions!$F$180,1),1))</f>
        <v>1</v>
      </c>
      <c r="I110" s="107" t="n">
        <f aca="false">IF(I$5="A",IF((Inputs_Actuals!I34*Contract_Register!$K$32+Inputs_Actuals!I67*Contract_Register!$L$32)=0,0,Inputs_Actuals!I100/(Inputs_Actuals!I34*Contract_Register!$K$32+Inputs_Actuals!I67*Contract_Register!$L$32)),H110*IF(AND(Assumptions!I$201&gt;Contract_Register!$T$32,MOD(Assumptions!I$201-Contract_Register!$T$32,12)=0),(1+Assumptions!$F$179)*IF(MOD(Assumptions!I$201-Contract_Register!$T$32,Assumptions!$C$90)=0,1+Assumptions!$F$180,1),1))</f>
        <v>1</v>
      </c>
      <c r="J110" s="107" t="n">
        <f aca="false">IF(J$5="A",IF((Inputs_Actuals!J34*Contract_Register!$K$32+Inputs_Actuals!J67*Contract_Register!$L$32)=0,0,Inputs_Actuals!J100/(Inputs_Actuals!J34*Contract_Register!$K$32+Inputs_Actuals!J67*Contract_Register!$L$32)),I110*IF(AND(Assumptions!J$201&gt;Contract_Register!$T$32,MOD(Assumptions!J$201-Contract_Register!$T$32,12)=0),(1+Assumptions!$F$179)*IF(MOD(Assumptions!J$201-Contract_Register!$T$32,Assumptions!$C$90)=0,1+Assumptions!$F$180,1),1))</f>
        <v>1</v>
      </c>
      <c r="K110" s="107" t="n">
        <f aca="false">IF(K$5="A",IF((Inputs_Actuals!K34*Contract_Register!$K$32+Inputs_Actuals!K67*Contract_Register!$L$32)=0,0,Inputs_Actuals!K100/(Inputs_Actuals!K34*Contract_Register!$K$32+Inputs_Actuals!K67*Contract_Register!$L$32)),J110*IF(AND(Assumptions!K$201&gt;Contract_Register!$T$32,MOD(Assumptions!K$201-Contract_Register!$T$32,12)=0),(1+Assumptions!$F$179)*IF(MOD(Assumptions!K$201-Contract_Register!$T$32,Assumptions!$C$90)=0,1+Assumptions!$F$180,1),1))</f>
        <v>1</v>
      </c>
      <c r="L110" s="107" t="n">
        <f aca="false">IF(L$5="A",IF((Inputs_Actuals!L34*Contract_Register!$K$32+Inputs_Actuals!L67*Contract_Register!$L$32)=0,0,Inputs_Actuals!L100/(Inputs_Actuals!L34*Contract_Register!$K$32+Inputs_Actuals!L67*Contract_Register!$L$32)),K110*IF(AND(Assumptions!L$201&gt;Contract_Register!$T$32,MOD(Assumptions!L$201-Contract_Register!$T$32,12)=0),(1+Assumptions!$F$179)*IF(MOD(Assumptions!L$201-Contract_Register!$T$32,Assumptions!$C$90)=0,1+Assumptions!$F$180,1),1))</f>
        <v>1.02599968213605</v>
      </c>
      <c r="M110" s="107" t="n">
        <f aca="false">IF(M$5="A",IF((Inputs_Actuals!M34*Contract_Register!$K$32+Inputs_Actuals!M67*Contract_Register!$L$32)=0,0,Inputs_Actuals!M100/(Inputs_Actuals!M34*Contract_Register!$K$32+Inputs_Actuals!M67*Contract_Register!$L$32)),L110*IF(AND(Assumptions!M$201&gt;Contract_Register!$T$32,MOD(Assumptions!M$201-Contract_Register!$T$32,12)=0),(1+Assumptions!$F$179)*IF(MOD(Assumptions!M$201-Contract_Register!$T$32,Assumptions!$C$90)=0,1+Assumptions!$F$180,1),1))</f>
        <v>1.02599968213605</v>
      </c>
      <c r="N110" s="107" t="n">
        <f aca="false">IF(N$5="A",IF((Inputs_Actuals!N34*Contract_Register!$K$32+Inputs_Actuals!N67*Contract_Register!$L$32)=0,0,Inputs_Actuals!N100/(Inputs_Actuals!N34*Contract_Register!$K$32+Inputs_Actuals!N67*Contract_Register!$L$32)),M110*IF(AND(Assumptions!N$201&gt;Contract_Register!$T$32,MOD(Assumptions!N$201-Contract_Register!$T$32,12)=0),(1+Assumptions!$F$179)*IF(MOD(Assumptions!N$201-Contract_Register!$T$32,Assumptions!$C$90)=0,1+Assumptions!$F$180,1),1))</f>
        <v>1.02599968213605</v>
      </c>
      <c r="O110" s="107" t="n">
        <f aca="false">IF(O$5="A",IF((Inputs_Actuals!O34*Contract_Register!$K$32+Inputs_Actuals!O67*Contract_Register!$L$32)=0,0,Inputs_Actuals!O100/(Inputs_Actuals!O34*Contract_Register!$K$32+Inputs_Actuals!O67*Contract_Register!$L$32)),N110*IF(AND(Assumptions!O$201&gt;Contract_Register!$T$32,MOD(Assumptions!O$201-Contract_Register!$T$32,12)=0),(1+Assumptions!$F$179)*IF(MOD(Assumptions!O$201-Contract_Register!$T$32,Assumptions!$C$90)=0,1+Assumptions!$F$180,1),1))</f>
        <v>1.02599968213605</v>
      </c>
      <c r="P110" s="107" t="n">
        <f aca="false">IF(P$5="A",IF((Inputs_Actuals!P34*Contract_Register!$K$32+Inputs_Actuals!P67*Contract_Register!$L$32)=0,0,Inputs_Actuals!P100/(Inputs_Actuals!P34*Contract_Register!$K$32+Inputs_Actuals!P67*Contract_Register!$L$32)),O110*IF(AND(Assumptions!P$201&gt;Contract_Register!$T$32,MOD(Assumptions!P$201-Contract_Register!$T$32,12)=0),(1+Assumptions!$F$179)*IF(MOD(Assumptions!P$201-Contract_Register!$T$32,Assumptions!$C$90)=0,1+Assumptions!$F$180,1),1))</f>
        <v>1.02599968213605</v>
      </c>
      <c r="Q110" s="107" t="n">
        <f aca="false">IF(Q$5="A",IF((Inputs_Actuals!Q34*Contract_Register!$K$32+Inputs_Actuals!Q67*Contract_Register!$L$32)=0,0,Inputs_Actuals!Q100/(Inputs_Actuals!Q34*Contract_Register!$K$32+Inputs_Actuals!Q67*Contract_Register!$L$32)),P110*IF(AND(Assumptions!Q$201&gt;Contract_Register!$T$32,MOD(Assumptions!Q$201-Contract_Register!$T$32,12)=0),(1+Assumptions!$F$179)*IF(MOD(Assumptions!Q$201-Contract_Register!$T$32,Assumptions!$C$90)=0,1+Assumptions!$F$180,1),1))</f>
        <v>1.02599968213605</v>
      </c>
      <c r="R110" s="107" t="n">
        <f aca="false">IF(R$5="A",IF((Inputs_Actuals!R34*Contract_Register!$K$32+Inputs_Actuals!R67*Contract_Register!$L$32)=0,0,Inputs_Actuals!R100/(Inputs_Actuals!R34*Contract_Register!$K$32+Inputs_Actuals!R67*Contract_Register!$L$32)),Q110*IF(AND(Assumptions!R$201&gt;Contract_Register!$T$32,MOD(Assumptions!R$201-Contract_Register!$T$32,12)=0),(1+Assumptions!$F$179)*IF(MOD(Assumptions!R$201-Contract_Register!$T$32,Assumptions!$C$90)=0,1+Assumptions!$F$180,1),1))</f>
        <v>1.02599968213605</v>
      </c>
      <c r="S110" s="107" t="n">
        <f aca="false">IF(S$5="A",IF((Inputs_Actuals!S34*Contract_Register!$K$32+Inputs_Actuals!S67*Contract_Register!$L$32)=0,0,Inputs_Actuals!S100/(Inputs_Actuals!S34*Contract_Register!$K$32+Inputs_Actuals!S67*Contract_Register!$L$32)),R110*IF(AND(Assumptions!S$201&gt;Contract_Register!$T$32,MOD(Assumptions!S$201-Contract_Register!$T$32,12)=0),(1+Assumptions!$F$179)*IF(MOD(Assumptions!S$201-Contract_Register!$T$32,Assumptions!$C$90)=0,1+Assumptions!$F$180,1),1))</f>
        <v>1.02599968213605</v>
      </c>
      <c r="T110" s="107" t="n">
        <f aca="false">IF(T$5="A",IF((Inputs_Actuals!T34*Contract_Register!$K$32+Inputs_Actuals!T67*Contract_Register!$L$32)=0,0,Inputs_Actuals!T100/(Inputs_Actuals!T34*Contract_Register!$K$32+Inputs_Actuals!T67*Contract_Register!$L$32)),S110*IF(AND(Assumptions!T$201&gt;Contract_Register!$T$32,MOD(Assumptions!T$201-Contract_Register!$T$32,12)=0),(1+Assumptions!$F$179)*IF(MOD(Assumptions!T$201-Contract_Register!$T$32,Assumptions!$C$90)=0,1+Assumptions!$F$180,1),1))</f>
        <v>1.02599968213605</v>
      </c>
      <c r="U110" s="107" t="n">
        <f aca="false">IF(U$5="A",IF((Inputs_Actuals!U34*Contract_Register!$K$32+Inputs_Actuals!U67*Contract_Register!$L$32)=0,0,Inputs_Actuals!U100/(Inputs_Actuals!U34*Contract_Register!$K$32+Inputs_Actuals!U67*Contract_Register!$L$32)),T110*IF(AND(Assumptions!U$201&gt;Contract_Register!$T$32,MOD(Assumptions!U$201-Contract_Register!$T$32,12)=0),(1+Assumptions!$F$179)*IF(MOD(Assumptions!U$201-Contract_Register!$T$32,Assumptions!$C$90)=0,1+Assumptions!$F$180,1),1))</f>
        <v>1.02599968213605</v>
      </c>
      <c r="V110" s="107" t="n">
        <f aca="false">IF(V$5="A",IF((Inputs_Actuals!V34*Contract_Register!$K$32+Inputs_Actuals!V67*Contract_Register!$L$32)=0,0,Inputs_Actuals!V100/(Inputs_Actuals!V34*Contract_Register!$K$32+Inputs_Actuals!V67*Contract_Register!$L$32)),U110*IF(AND(Assumptions!V$201&gt;Contract_Register!$T$32,MOD(Assumptions!V$201-Contract_Register!$T$32,12)=0),(1+Assumptions!$F$179)*IF(MOD(Assumptions!V$201-Contract_Register!$T$32,Assumptions!$C$90)=0,1+Assumptions!$F$180,1),1))</f>
        <v>1.02599968213605</v>
      </c>
      <c r="W110" s="107" t="n">
        <f aca="false">IF(W$5="A",IF((Inputs_Actuals!W34*Contract_Register!$K$32+Inputs_Actuals!W67*Contract_Register!$L$32)=0,0,Inputs_Actuals!W100/(Inputs_Actuals!W34*Contract_Register!$K$32+Inputs_Actuals!W67*Contract_Register!$L$32)),V110*IF(AND(Assumptions!W$201&gt;Contract_Register!$T$32,MOD(Assumptions!W$201-Contract_Register!$T$32,12)=0),(1+Assumptions!$F$179)*IF(MOD(Assumptions!W$201-Contract_Register!$T$32,Assumptions!$C$90)=0,1+Assumptions!$F$180,1),1))</f>
        <v>1.02599968213605</v>
      </c>
      <c r="X110" s="107" t="n">
        <f aca="false">IF(X$5="A",IF((Inputs_Actuals!X34*Contract_Register!$K$32+Inputs_Actuals!X67*Contract_Register!$L$32)=0,0,Inputs_Actuals!X100/(Inputs_Actuals!X34*Contract_Register!$K$32+Inputs_Actuals!X67*Contract_Register!$L$32)),W110*IF(AND(Assumptions!X$201&gt;Contract_Register!$T$32,MOD(Assumptions!X$201-Contract_Register!$T$32,12)=0),(1+Assumptions!$F$179)*IF(MOD(Assumptions!X$201-Contract_Register!$T$32,Assumptions!$C$90)=0,1+Assumptions!$F$180,1),1))</f>
        <v>1.05677967260013</v>
      </c>
      <c r="Y110" s="107" t="n">
        <f aca="false">IF(Y$5="A",IF((Inputs_Actuals!Y34*Contract_Register!$K$32+Inputs_Actuals!Y67*Contract_Register!$L$32)=0,0,Inputs_Actuals!Y100/(Inputs_Actuals!Y34*Contract_Register!$K$32+Inputs_Actuals!Y67*Contract_Register!$L$32)),X110*IF(AND(Assumptions!Y$201&gt;Contract_Register!$T$32,MOD(Assumptions!Y$201-Contract_Register!$T$32,12)=0),(1+Assumptions!$F$179)*IF(MOD(Assumptions!Y$201-Contract_Register!$T$32,Assumptions!$C$90)=0,1+Assumptions!$F$180,1),1))</f>
        <v>1.05677967260013</v>
      </c>
      <c r="Z110" s="107" t="n">
        <f aca="false">IF(Z$5="A",IF((Inputs_Actuals!Z34*Contract_Register!$K$32+Inputs_Actuals!Z67*Contract_Register!$L$32)=0,0,Inputs_Actuals!Z100/(Inputs_Actuals!Z34*Contract_Register!$K$32+Inputs_Actuals!Z67*Contract_Register!$L$32)),Y110*IF(AND(Assumptions!Z$201&gt;Contract_Register!$T$32,MOD(Assumptions!Z$201-Contract_Register!$T$32,12)=0),(1+Assumptions!$F$179)*IF(MOD(Assumptions!Z$201-Contract_Register!$T$32,Assumptions!$C$90)=0,1+Assumptions!$F$180,1),1))</f>
        <v>1.05677967260013</v>
      </c>
      <c r="AA110" s="107" t="n">
        <f aca="false">IF(AA$5="A",IF((Inputs_Actuals!AA34*Contract_Register!$K$32+Inputs_Actuals!AA67*Contract_Register!$L$32)=0,0,Inputs_Actuals!AA100/(Inputs_Actuals!AA34*Contract_Register!$K$32+Inputs_Actuals!AA67*Contract_Register!$L$32)),Z110*IF(AND(Assumptions!AA$201&gt;Contract_Register!$T$32,MOD(Assumptions!AA$201-Contract_Register!$T$32,12)=0),(1+Assumptions!$F$179)*IF(MOD(Assumptions!AA$201-Contract_Register!$T$32,Assumptions!$C$90)=0,1+Assumptions!$F$180,1),1))</f>
        <v>1.05677967260013</v>
      </c>
      <c r="AB110" s="107" t="n">
        <f aca="false">IF(AB$5="A",IF((Inputs_Actuals!AB34*Contract_Register!$K$32+Inputs_Actuals!AB67*Contract_Register!$L$32)=0,0,Inputs_Actuals!AB100/(Inputs_Actuals!AB34*Contract_Register!$K$32+Inputs_Actuals!AB67*Contract_Register!$L$32)),AA110*IF(AND(Assumptions!AB$201&gt;Contract_Register!$T$32,MOD(Assumptions!AB$201-Contract_Register!$T$32,12)=0),(1+Assumptions!$F$179)*IF(MOD(Assumptions!AB$201-Contract_Register!$T$32,Assumptions!$C$90)=0,1+Assumptions!$F$180,1),1))</f>
        <v>1.05677967260013</v>
      </c>
    </row>
    <row r="111" customFormat="false" ht="15" hidden="false" customHeight="false" outlineLevel="0" collapsed="false">
      <c r="A111" s="27" t="s">
        <v>839</v>
      </c>
      <c r="B111" s="63" t="s">
        <v>851</v>
      </c>
      <c r="C111" s="121" t="n">
        <f aca="false">P111</f>
        <v>1.02600043639537</v>
      </c>
      <c r="D111" s="121" t="n">
        <f aca="false">AB111</f>
        <v>1.05678044948724</v>
      </c>
      <c r="E111" s="107" t="n">
        <f aca="false">IF(E$5="A",IF((Inputs_Actuals!E35*Contract_Register!$K$33+Inputs_Actuals!E68*Contract_Register!$L$33)=0,0,Inputs_Actuals!E101/(Inputs_Actuals!E35*Contract_Register!$K$33+Inputs_Actuals!E68*Contract_Register!$L$33)),1*IF(AND(Assumptions!E$201&gt;Contract_Register!$T$33,MOD(Assumptions!E$201-Contract_Register!$T$33,12)=0),(1+Assumptions!$F$179)*IF(MOD(Assumptions!E$201-Contract_Register!$T$33,Assumptions!$C$90)=0,1+Assumptions!$F$180,1),1))</f>
        <v>1</v>
      </c>
      <c r="F111" s="107" t="n">
        <f aca="false">IF(F$5="A",IF((Inputs_Actuals!F35*Contract_Register!$K$33+Inputs_Actuals!F68*Contract_Register!$L$33)=0,0,Inputs_Actuals!F101/(Inputs_Actuals!F35*Contract_Register!$K$33+Inputs_Actuals!F68*Contract_Register!$L$33)),E111*IF(AND(Assumptions!F$201&gt;Contract_Register!$T$33,MOD(Assumptions!F$201-Contract_Register!$T$33,12)=0),(1+Assumptions!$F$179)*IF(MOD(Assumptions!F$201-Contract_Register!$T$33,Assumptions!$C$90)=0,1+Assumptions!$F$180,1),1))</f>
        <v>1.02599954975236</v>
      </c>
      <c r="G111" s="107" t="n">
        <f aca="false">IF(G$5="A",IF((Inputs_Actuals!G35*Contract_Register!$K$33+Inputs_Actuals!G68*Contract_Register!$L$33)=0,0,Inputs_Actuals!G101/(Inputs_Actuals!G35*Contract_Register!$K$33+Inputs_Actuals!G68*Contract_Register!$L$33)),F111*IF(AND(Assumptions!G$201&gt;Contract_Register!$T$33,MOD(Assumptions!G$201-Contract_Register!$T$33,12)=0),(1+Assumptions!$F$179)*IF(MOD(Assumptions!G$201-Contract_Register!$T$33,Assumptions!$C$90)=0,1+Assumptions!$F$180,1),1))</f>
        <v>1.02599910893295</v>
      </c>
      <c r="H111" s="107" t="n">
        <f aca="false">IF(H$5="A",IF((Inputs_Actuals!H35*Contract_Register!$K$33+Inputs_Actuals!H68*Contract_Register!$L$33)=0,0,Inputs_Actuals!H101/(Inputs_Actuals!H35*Contract_Register!$K$33+Inputs_Actuals!H68*Contract_Register!$L$33)),G111*IF(AND(Assumptions!H$201&gt;Contract_Register!$T$33,MOD(Assumptions!H$201-Contract_Register!$T$33,12)=0),(1+Assumptions!$F$179)*IF(MOD(Assumptions!H$201-Contract_Register!$T$33,Assumptions!$C$90)=0,1+Assumptions!$F$180,1),1))</f>
        <v>1.02599910893295</v>
      </c>
      <c r="I111" s="107" t="n">
        <f aca="false">IF(I$5="A",IF((Inputs_Actuals!I35*Contract_Register!$K$33+Inputs_Actuals!I68*Contract_Register!$L$33)=0,0,Inputs_Actuals!I101/(Inputs_Actuals!I35*Contract_Register!$K$33+Inputs_Actuals!I68*Contract_Register!$L$33)),H111*IF(AND(Assumptions!I$201&gt;Contract_Register!$T$33,MOD(Assumptions!I$201-Contract_Register!$T$33,12)=0),(1+Assumptions!$F$179)*IF(MOD(Assumptions!I$201-Contract_Register!$T$33,Assumptions!$C$90)=0,1+Assumptions!$F$180,1),1))</f>
        <v>1.02600088183422</v>
      </c>
      <c r="J111" s="107" t="n">
        <f aca="false">IF(J$5="A",IF((Inputs_Actuals!J35*Contract_Register!$K$33+Inputs_Actuals!J68*Contract_Register!$L$33)=0,0,Inputs_Actuals!J101/(Inputs_Actuals!J35*Contract_Register!$K$33+Inputs_Actuals!J68*Contract_Register!$L$33)),I111*IF(AND(Assumptions!J$201&gt;Contract_Register!$T$33,MOD(Assumptions!J$201-Contract_Register!$T$33,12)=0),(1+Assumptions!$F$179)*IF(MOD(Assumptions!J$201-Contract_Register!$T$33,Assumptions!$C$90)=0,1+Assumptions!$F$180,1),1))</f>
        <v>1.02600088183422</v>
      </c>
      <c r="K111" s="107" t="n">
        <f aca="false">IF(K$5="A",IF((Inputs_Actuals!K35*Contract_Register!$K$33+Inputs_Actuals!K68*Contract_Register!$L$33)=0,0,Inputs_Actuals!K101/(Inputs_Actuals!K35*Contract_Register!$K$33+Inputs_Actuals!K68*Contract_Register!$L$33)),J111*IF(AND(Assumptions!K$201&gt;Contract_Register!$T$33,MOD(Assumptions!K$201-Contract_Register!$T$33,12)=0),(1+Assumptions!$F$179)*IF(MOD(Assumptions!K$201-Contract_Register!$T$33,Assumptions!$C$90)=0,1+Assumptions!$F$180,1),1))</f>
        <v>1.02600088183422</v>
      </c>
      <c r="L111" s="107" t="n">
        <f aca="false">IF(L$5="A",IF((Inputs_Actuals!L35*Contract_Register!$K$33+Inputs_Actuals!L68*Contract_Register!$L$33)=0,0,Inputs_Actuals!L101/(Inputs_Actuals!L35*Contract_Register!$K$33+Inputs_Actuals!L68*Contract_Register!$L$33)),K111*IF(AND(Assumptions!L$201&gt;Contract_Register!$T$33,MOD(Assumptions!L$201-Contract_Register!$T$33,12)=0),(1+Assumptions!$F$179)*IF(MOD(Assumptions!L$201-Contract_Register!$T$33,Assumptions!$C$90)=0,1+Assumptions!$F$180,1),1))</f>
        <v>1.02600043639537</v>
      </c>
      <c r="M111" s="107" t="n">
        <f aca="false">IF(M$5="A",IF((Inputs_Actuals!M35*Contract_Register!$K$33+Inputs_Actuals!M68*Contract_Register!$L$33)=0,0,Inputs_Actuals!M101/(Inputs_Actuals!M35*Contract_Register!$K$33+Inputs_Actuals!M68*Contract_Register!$L$33)),L111*IF(AND(Assumptions!M$201&gt;Contract_Register!$T$33,MOD(Assumptions!M$201-Contract_Register!$T$33,12)=0),(1+Assumptions!$F$179)*IF(MOD(Assumptions!M$201-Contract_Register!$T$33,Assumptions!$C$90)=0,1+Assumptions!$F$180,1),1))</f>
        <v>1.02600043639537</v>
      </c>
      <c r="N111" s="107" t="n">
        <f aca="false">IF(N$5="A",IF((Inputs_Actuals!N35*Contract_Register!$K$33+Inputs_Actuals!N68*Contract_Register!$L$33)=0,0,Inputs_Actuals!N101/(Inputs_Actuals!N35*Contract_Register!$K$33+Inputs_Actuals!N68*Contract_Register!$L$33)),M111*IF(AND(Assumptions!N$201&gt;Contract_Register!$T$33,MOD(Assumptions!N$201-Contract_Register!$T$33,12)=0),(1+Assumptions!$F$179)*IF(MOD(Assumptions!N$201-Contract_Register!$T$33,Assumptions!$C$90)=0,1+Assumptions!$F$180,1),1))</f>
        <v>1.02600043639537</v>
      </c>
      <c r="O111" s="107" t="n">
        <f aca="false">IF(O$5="A",IF((Inputs_Actuals!O35*Contract_Register!$K$33+Inputs_Actuals!O68*Contract_Register!$L$33)=0,0,Inputs_Actuals!O101/(Inputs_Actuals!O35*Contract_Register!$K$33+Inputs_Actuals!O68*Contract_Register!$L$33)),N111*IF(AND(Assumptions!O$201&gt;Contract_Register!$T$33,MOD(Assumptions!O$201-Contract_Register!$T$33,12)=0),(1+Assumptions!$F$179)*IF(MOD(Assumptions!O$201-Contract_Register!$T$33,Assumptions!$C$90)=0,1+Assumptions!$F$180,1),1))</f>
        <v>1.02600043639537</v>
      </c>
      <c r="P111" s="107" t="n">
        <f aca="false">IF(P$5="A",IF((Inputs_Actuals!P35*Contract_Register!$K$33+Inputs_Actuals!P68*Contract_Register!$L$33)=0,0,Inputs_Actuals!P101/(Inputs_Actuals!P35*Contract_Register!$K$33+Inputs_Actuals!P68*Contract_Register!$L$33)),O111*IF(AND(Assumptions!P$201&gt;Contract_Register!$T$33,MOD(Assumptions!P$201-Contract_Register!$T$33,12)=0),(1+Assumptions!$F$179)*IF(MOD(Assumptions!P$201-Contract_Register!$T$33,Assumptions!$C$90)=0,1+Assumptions!$F$180,1),1))</f>
        <v>1.02600043639537</v>
      </c>
      <c r="Q111" s="107" t="n">
        <f aca="false">IF(Q$5="A",IF((Inputs_Actuals!Q35*Contract_Register!$K$33+Inputs_Actuals!Q68*Contract_Register!$L$33)=0,0,Inputs_Actuals!Q101/(Inputs_Actuals!Q35*Contract_Register!$K$33+Inputs_Actuals!Q68*Contract_Register!$L$33)),P111*IF(AND(Assumptions!Q$201&gt;Contract_Register!$T$33,MOD(Assumptions!Q$201-Contract_Register!$T$33,12)=0),(1+Assumptions!$F$179)*IF(MOD(Assumptions!Q$201-Contract_Register!$T$33,Assumptions!$C$90)=0,1+Assumptions!$F$180,1),1))</f>
        <v>1.02600043639537</v>
      </c>
      <c r="R111" s="107" t="n">
        <f aca="false">IF(R$5="A",IF((Inputs_Actuals!R35*Contract_Register!$K$33+Inputs_Actuals!R68*Contract_Register!$L$33)=0,0,Inputs_Actuals!R101/(Inputs_Actuals!R35*Contract_Register!$K$33+Inputs_Actuals!R68*Contract_Register!$L$33)),Q111*IF(AND(Assumptions!R$201&gt;Contract_Register!$T$33,MOD(Assumptions!R$201-Contract_Register!$T$33,12)=0),(1+Assumptions!$F$179)*IF(MOD(Assumptions!R$201-Contract_Register!$T$33,Assumptions!$C$90)=0,1+Assumptions!$F$180,1),1))</f>
        <v>1.05678044948724</v>
      </c>
      <c r="S111" s="107" t="n">
        <f aca="false">IF(S$5="A",IF((Inputs_Actuals!S35*Contract_Register!$K$33+Inputs_Actuals!S68*Contract_Register!$L$33)=0,0,Inputs_Actuals!S101/(Inputs_Actuals!S35*Contract_Register!$K$33+Inputs_Actuals!S68*Contract_Register!$L$33)),R111*IF(AND(Assumptions!S$201&gt;Contract_Register!$T$33,MOD(Assumptions!S$201-Contract_Register!$T$33,12)=0),(1+Assumptions!$F$179)*IF(MOD(Assumptions!S$201-Contract_Register!$T$33,Assumptions!$C$90)=0,1+Assumptions!$F$180,1),1))</f>
        <v>1.05678044948724</v>
      </c>
      <c r="T111" s="107" t="n">
        <f aca="false">IF(T$5="A",IF((Inputs_Actuals!T35*Contract_Register!$K$33+Inputs_Actuals!T68*Contract_Register!$L$33)=0,0,Inputs_Actuals!T101/(Inputs_Actuals!T35*Contract_Register!$K$33+Inputs_Actuals!T68*Contract_Register!$L$33)),S111*IF(AND(Assumptions!T$201&gt;Contract_Register!$T$33,MOD(Assumptions!T$201-Contract_Register!$T$33,12)=0),(1+Assumptions!$F$179)*IF(MOD(Assumptions!T$201-Contract_Register!$T$33,Assumptions!$C$90)=0,1+Assumptions!$F$180,1),1))</f>
        <v>1.05678044948724</v>
      </c>
      <c r="U111" s="107" t="n">
        <f aca="false">IF(U$5="A",IF((Inputs_Actuals!U35*Contract_Register!$K$33+Inputs_Actuals!U68*Contract_Register!$L$33)=0,0,Inputs_Actuals!U101/(Inputs_Actuals!U35*Contract_Register!$K$33+Inputs_Actuals!U68*Contract_Register!$L$33)),T111*IF(AND(Assumptions!U$201&gt;Contract_Register!$T$33,MOD(Assumptions!U$201-Contract_Register!$T$33,12)=0),(1+Assumptions!$F$179)*IF(MOD(Assumptions!U$201-Contract_Register!$T$33,Assumptions!$C$90)=0,1+Assumptions!$F$180,1),1))</f>
        <v>1.05678044948724</v>
      </c>
      <c r="V111" s="107" t="n">
        <f aca="false">IF(V$5="A",IF((Inputs_Actuals!V35*Contract_Register!$K$33+Inputs_Actuals!V68*Contract_Register!$L$33)=0,0,Inputs_Actuals!V101/(Inputs_Actuals!V35*Contract_Register!$K$33+Inputs_Actuals!V68*Contract_Register!$L$33)),U111*IF(AND(Assumptions!V$201&gt;Contract_Register!$T$33,MOD(Assumptions!V$201-Contract_Register!$T$33,12)=0),(1+Assumptions!$F$179)*IF(MOD(Assumptions!V$201-Contract_Register!$T$33,Assumptions!$C$90)=0,1+Assumptions!$F$180,1),1))</f>
        <v>1.05678044948724</v>
      </c>
      <c r="W111" s="107" t="n">
        <f aca="false">IF(W$5="A",IF((Inputs_Actuals!W35*Contract_Register!$K$33+Inputs_Actuals!W68*Contract_Register!$L$33)=0,0,Inputs_Actuals!W101/(Inputs_Actuals!W35*Contract_Register!$K$33+Inputs_Actuals!W68*Contract_Register!$L$33)),V111*IF(AND(Assumptions!W$201&gt;Contract_Register!$T$33,MOD(Assumptions!W$201-Contract_Register!$T$33,12)=0),(1+Assumptions!$F$179)*IF(MOD(Assumptions!W$201-Contract_Register!$T$33,Assumptions!$C$90)=0,1+Assumptions!$F$180,1),1))</f>
        <v>1.05678044948724</v>
      </c>
      <c r="X111" s="107" t="n">
        <f aca="false">IF(X$5="A",IF((Inputs_Actuals!X35*Contract_Register!$K$33+Inputs_Actuals!X68*Contract_Register!$L$33)=0,0,Inputs_Actuals!X101/(Inputs_Actuals!X35*Contract_Register!$K$33+Inputs_Actuals!X68*Contract_Register!$L$33)),W111*IF(AND(Assumptions!X$201&gt;Contract_Register!$T$33,MOD(Assumptions!X$201-Contract_Register!$T$33,12)=0),(1+Assumptions!$F$179)*IF(MOD(Assumptions!X$201-Contract_Register!$T$33,Assumptions!$C$90)=0,1+Assumptions!$F$180,1),1))</f>
        <v>1.05678044948724</v>
      </c>
      <c r="Y111" s="107" t="n">
        <f aca="false">IF(Y$5="A",IF((Inputs_Actuals!Y35*Contract_Register!$K$33+Inputs_Actuals!Y68*Contract_Register!$L$33)=0,0,Inputs_Actuals!Y101/(Inputs_Actuals!Y35*Contract_Register!$K$33+Inputs_Actuals!Y68*Contract_Register!$L$33)),X111*IF(AND(Assumptions!Y$201&gt;Contract_Register!$T$33,MOD(Assumptions!Y$201-Contract_Register!$T$33,12)=0),(1+Assumptions!$F$179)*IF(MOD(Assumptions!Y$201-Contract_Register!$T$33,Assumptions!$C$90)=0,1+Assumptions!$F$180,1),1))</f>
        <v>1.05678044948724</v>
      </c>
      <c r="Z111" s="107" t="n">
        <f aca="false">IF(Z$5="A",IF((Inputs_Actuals!Z35*Contract_Register!$K$33+Inputs_Actuals!Z68*Contract_Register!$L$33)=0,0,Inputs_Actuals!Z101/(Inputs_Actuals!Z35*Contract_Register!$K$33+Inputs_Actuals!Z68*Contract_Register!$L$33)),Y111*IF(AND(Assumptions!Z$201&gt;Contract_Register!$T$33,MOD(Assumptions!Z$201-Contract_Register!$T$33,12)=0),(1+Assumptions!$F$179)*IF(MOD(Assumptions!Z$201-Contract_Register!$T$33,Assumptions!$C$90)=0,1+Assumptions!$F$180,1),1))</f>
        <v>1.05678044948724</v>
      </c>
      <c r="AA111" s="107" t="n">
        <f aca="false">IF(AA$5="A",IF((Inputs_Actuals!AA35*Contract_Register!$K$33+Inputs_Actuals!AA68*Contract_Register!$L$33)=0,0,Inputs_Actuals!AA101/(Inputs_Actuals!AA35*Contract_Register!$K$33+Inputs_Actuals!AA68*Contract_Register!$L$33)),Z111*IF(AND(Assumptions!AA$201&gt;Contract_Register!$T$33,MOD(Assumptions!AA$201-Contract_Register!$T$33,12)=0),(1+Assumptions!$F$179)*IF(MOD(Assumptions!AA$201-Contract_Register!$T$33,Assumptions!$C$90)=0,1+Assumptions!$F$180,1),1))</f>
        <v>1.05678044948724</v>
      </c>
      <c r="AB111" s="107" t="n">
        <f aca="false">IF(AB$5="A",IF((Inputs_Actuals!AB35*Contract_Register!$K$33+Inputs_Actuals!AB68*Contract_Register!$L$33)=0,0,Inputs_Actuals!AB101/(Inputs_Actuals!AB35*Contract_Register!$K$33+Inputs_Actuals!AB68*Contract_Register!$L$33)),AA111*IF(AND(Assumptions!AB$201&gt;Contract_Register!$T$33,MOD(Assumptions!AB$201-Contract_Register!$T$33,12)=0),(1+Assumptions!$F$179)*IF(MOD(Assumptions!AB$201-Contract_Register!$T$33,Assumptions!$C$90)=0,1+Assumptions!$F$180,1),1))</f>
        <v>1.05678044948724</v>
      </c>
    </row>
    <row r="112" customFormat="false" ht="15" hidden="false" customHeight="false" outlineLevel="0" collapsed="false">
      <c r="A112" s="27" t="s">
        <v>840</v>
      </c>
      <c r="B112" s="63" t="s">
        <v>851</v>
      </c>
      <c r="C112" s="121" t="n">
        <f aca="false">P112</f>
        <v>1.03</v>
      </c>
      <c r="D112" s="121" t="n">
        <f aca="false">AB112</f>
        <v>1.0609</v>
      </c>
      <c r="E112" s="107" t="n">
        <f aca="false">IF(E$5="A",IF((Inputs_Actuals!E36*Contract_Register!$K$34+Inputs_Actuals!E69*Contract_Register!$L$34)=0,0,Inputs_Actuals!E102/(Inputs_Actuals!E36*Contract_Register!$K$34+Inputs_Actuals!E69*Contract_Register!$L$34)),1*IF(AND(Assumptions!E$201&gt;Contract_Register!$T$34,MOD(Assumptions!E$201-Contract_Register!$T$34,12)=0),(1+Assumptions!$F$179)*IF(MOD(Assumptions!E$201-Contract_Register!$T$34,Assumptions!$C$90)=0,1+Assumptions!$F$180,1),1))</f>
        <v>1</v>
      </c>
      <c r="F112" s="107" t="n">
        <f aca="false">IF(F$5="A",IF((Inputs_Actuals!F36*Contract_Register!$K$34+Inputs_Actuals!F69*Contract_Register!$L$34)=0,0,Inputs_Actuals!F102/(Inputs_Actuals!F36*Contract_Register!$K$34+Inputs_Actuals!F69*Contract_Register!$L$34)),E112*IF(AND(Assumptions!F$201&gt;Contract_Register!$T$34,MOD(Assumptions!F$201-Contract_Register!$T$34,12)=0),(1+Assumptions!$F$179)*IF(MOD(Assumptions!F$201-Contract_Register!$T$34,Assumptions!$C$90)=0,1+Assumptions!$F$180,1),1))</f>
        <v>1</v>
      </c>
      <c r="G112" s="107" t="n">
        <f aca="false">IF(G$5="A",IF((Inputs_Actuals!G36*Contract_Register!$K$34+Inputs_Actuals!G69*Contract_Register!$L$34)=0,0,Inputs_Actuals!G102/(Inputs_Actuals!G36*Contract_Register!$K$34+Inputs_Actuals!G69*Contract_Register!$L$34)),F112*IF(AND(Assumptions!G$201&gt;Contract_Register!$T$34,MOD(Assumptions!G$201-Contract_Register!$T$34,12)=0),(1+Assumptions!$F$179)*IF(MOD(Assumptions!G$201-Contract_Register!$T$34,Assumptions!$C$90)=0,1+Assumptions!$F$180,1),1))</f>
        <v>1</v>
      </c>
      <c r="H112" s="107" t="n">
        <f aca="false">IF(H$5="A",IF((Inputs_Actuals!H36*Contract_Register!$K$34+Inputs_Actuals!H69*Contract_Register!$L$34)=0,0,Inputs_Actuals!H102/(Inputs_Actuals!H36*Contract_Register!$K$34+Inputs_Actuals!H69*Contract_Register!$L$34)),G112*IF(AND(Assumptions!H$201&gt;Contract_Register!$T$34,MOD(Assumptions!H$201-Contract_Register!$T$34,12)=0),(1+Assumptions!$F$179)*IF(MOD(Assumptions!H$201-Contract_Register!$T$34,Assumptions!$C$90)=0,1+Assumptions!$F$180,1),1))</f>
        <v>1</v>
      </c>
      <c r="I112" s="107" t="n">
        <f aca="false">IF(I$5="A",IF((Inputs_Actuals!I36*Contract_Register!$K$34+Inputs_Actuals!I69*Contract_Register!$L$34)=0,0,Inputs_Actuals!I102/(Inputs_Actuals!I36*Contract_Register!$K$34+Inputs_Actuals!I69*Contract_Register!$L$34)),H112*IF(AND(Assumptions!I$201&gt;Contract_Register!$T$34,MOD(Assumptions!I$201-Contract_Register!$T$34,12)=0),(1+Assumptions!$F$179)*IF(MOD(Assumptions!I$201-Contract_Register!$T$34,Assumptions!$C$90)=0,1+Assumptions!$F$180,1),1))</f>
        <v>1</v>
      </c>
      <c r="J112" s="107" t="n">
        <f aca="false">IF(J$5="A",IF((Inputs_Actuals!J36*Contract_Register!$K$34+Inputs_Actuals!J69*Contract_Register!$L$34)=0,0,Inputs_Actuals!J102/(Inputs_Actuals!J36*Contract_Register!$K$34+Inputs_Actuals!J69*Contract_Register!$L$34)),I112*IF(AND(Assumptions!J$201&gt;Contract_Register!$T$34,MOD(Assumptions!J$201-Contract_Register!$T$34,12)=0),(1+Assumptions!$F$179)*IF(MOD(Assumptions!J$201-Contract_Register!$T$34,Assumptions!$C$90)=0,1+Assumptions!$F$180,1),1))</f>
        <v>1</v>
      </c>
      <c r="K112" s="107" t="n">
        <f aca="false">IF(K$5="A",IF((Inputs_Actuals!K36*Contract_Register!$K$34+Inputs_Actuals!K69*Contract_Register!$L$34)=0,0,Inputs_Actuals!K102/(Inputs_Actuals!K36*Contract_Register!$K$34+Inputs_Actuals!K69*Contract_Register!$L$34)),J112*IF(AND(Assumptions!K$201&gt;Contract_Register!$T$34,MOD(Assumptions!K$201-Contract_Register!$T$34,12)=0),(1+Assumptions!$F$179)*IF(MOD(Assumptions!K$201-Contract_Register!$T$34,Assumptions!$C$90)=0,1+Assumptions!$F$180,1),1))</f>
        <v>1</v>
      </c>
      <c r="L112" s="107" t="n">
        <f aca="false">IF(L$5="A",IF((Inputs_Actuals!L36*Contract_Register!$K$34+Inputs_Actuals!L69*Contract_Register!$L$34)=0,0,Inputs_Actuals!L102/(Inputs_Actuals!L36*Contract_Register!$K$34+Inputs_Actuals!L69*Contract_Register!$L$34)),K112*IF(AND(Assumptions!L$201&gt;Contract_Register!$T$34,MOD(Assumptions!L$201-Contract_Register!$T$34,12)=0),(1+Assumptions!$F$179)*IF(MOD(Assumptions!L$201-Contract_Register!$T$34,Assumptions!$C$90)=0,1+Assumptions!$F$180,1),1))</f>
        <v>1</v>
      </c>
      <c r="M112" s="107" t="n">
        <f aca="false">IF(M$5="A",IF((Inputs_Actuals!M36*Contract_Register!$K$34+Inputs_Actuals!M69*Contract_Register!$L$34)=0,0,Inputs_Actuals!M102/(Inputs_Actuals!M36*Contract_Register!$K$34+Inputs_Actuals!M69*Contract_Register!$L$34)),L112*IF(AND(Assumptions!M$201&gt;Contract_Register!$T$34,MOD(Assumptions!M$201-Contract_Register!$T$34,12)=0),(1+Assumptions!$F$179)*IF(MOD(Assumptions!M$201-Contract_Register!$T$34,Assumptions!$C$90)=0,1+Assumptions!$F$180,1),1))</f>
        <v>1</v>
      </c>
      <c r="N112" s="107" t="n">
        <f aca="false">IF(N$5="A",IF((Inputs_Actuals!N36*Contract_Register!$K$34+Inputs_Actuals!N69*Contract_Register!$L$34)=0,0,Inputs_Actuals!N102/(Inputs_Actuals!N36*Contract_Register!$K$34+Inputs_Actuals!N69*Contract_Register!$L$34)),M112*IF(AND(Assumptions!N$201&gt;Contract_Register!$T$34,MOD(Assumptions!N$201-Contract_Register!$T$34,12)=0),(1+Assumptions!$F$179)*IF(MOD(Assumptions!N$201-Contract_Register!$T$34,Assumptions!$C$90)=0,1+Assumptions!$F$180,1),1))</f>
        <v>1.03</v>
      </c>
      <c r="O112" s="107" t="n">
        <f aca="false">IF(O$5="A",IF((Inputs_Actuals!O36*Contract_Register!$K$34+Inputs_Actuals!O69*Contract_Register!$L$34)=0,0,Inputs_Actuals!O102/(Inputs_Actuals!O36*Contract_Register!$K$34+Inputs_Actuals!O69*Contract_Register!$L$34)),N112*IF(AND(Assumptions!O$201&gt;Contract_Register!$T$34,MOD(Assumptions!O$201-Contract_Register!$T$34,12)=0),(1+Assumptions!$F$179)*IF(MOD(Assumptions!O$201-Contract_Register!$T$34,Assumptions!$C$90)=0,1+Assumptions!$F$180,1),1))</f>
        <v>1.03</v>
      </c>
      <c r="P112" s="107" t="n">
        <f aca="false">IF(P$5="A",IF((Inputs_Actuals!P36*Contract_Register!$K$34+Inputs_Actuals!P69*Contract_Register!$L$34)=0,0,Inputs_Actuals!P102/(Inputs_Actuals!P36*Contract_Register!$K$34+Inputs_Actuals!P69*Contract_Register!$L$34)),O112*IF(AND(Assumptions!P$201&gt;Contract_Register!$T$34,MOD(Assumptions!P$201-Contract_Register!$T$34,12)=0),(1+Assumptions!$F$179)*IF(MOD(Assumptions!P$201-Contract_Register!$T$34,Assumptions!$C$90)=0,1+Assumptions!$F$180,1),1))</f>
        <v>1.03</v>
      </c>
      <c r="Q112" s="107" t="n">
        <f aca="false">IF(Q$5="A",IF((Inputs_Actuals!Q36*Contract_Register!$K$34+Inputs_Actuals!Q69*Contract_Register!$L$34)=0,0,Inputs_Actuals!Q102/(Inputs_Actuals!Q36*Contract_Register!$K$34+Inputs_Actuals!Q69*Contract_Register!$L$34)),P112*IF(AND(Assumptions!Q$201&gt;Contract_Register!$T$34,MOD(Assumptions!Q$201-Contract_Register!$T$34,12)=0),(1+Assumptions!$F$179)*IF(MOD(Assumptions!Q$201-Contract_Register!$T$34,Assumptions!$C$90)=0,1+Assumptions!$F$180,1),1))</f>
        <v>1.03</v>
      </c>
      <c r="R112" s="107" t="n">
        <f aca="false">IF(R$5="A",IF((Inputs_Actuals!R36*Contract_Register!$K$34+Inputs_Actuals!R69*Contract_Register!$L$34)=0,0,Inputs_Actuals!R102/(Inputs_Actuals!R36*Contract_Register!$K$34+Inputs_Actuals!R69*Contract_Register!$L$34)),Q112*IF(AND(Assumptions!R$201&gt;Contract_Register!$T$34,MOD(Assumptions!R$201-Contract_Register!$T$34,12)=0),(1+Assumptions!$F$179)*IF(MOD(Assumptions!R$201-Contract_Register!$T$34,Assumptions!$C$90)=0,1+Assumptions!$F$180,1),1))</f>
        <v>1.03</v>
      </c>
      <c r="S112" s="107" t="n">
        <f aca="false">IF(S$5="A",IF((Inputs_Actuals!S36*Contract_Register!$K$34+Inputs_Actuals!S69*Contract_Register!$L$34)=0,0,Inputs_Actuals!S102/(Inputs_Actuals!S36*Contract_Register!$K$34+Inputs_Actuals!S69*Contract_Register!$L$34)),R112*IF(AND(Assumptions!S$201&gt;Contract_Register!$T$34,MOD(Assumptions!S$201-Contract_Register!$T$34,12)=0),(1+Assumptions!$F$179)*IF(MOD(Assumptions!S$201-Contract_Register!$T$34,Assumptions!$C$90)=0,1+Assumptions!$F$180,1),1))</f>
        <v>1.03</v>
      </c>
      <c r="T112" s="107" t="n">
        <f aca="false">IF(T$5="A",IF((Inputs_Actuals!T36*Contract_Register!$K$34+Inputs_Actuals!T69*Contract_Register!$L$34)=0,0,Inputs_Actuals!T102/(Inputs_Actuals!T36*Contract_Register!$K$34+Inputs_Actuals!T69*Contract_Register!$L$34)),S112*IF(AND(Assumptions!T$201&gt;Contract_Register!$T$34,MOD(Assumptions!T$201-Contract_Register!$T$34,12)=0),(1+Assumptions!$F$179)*IF(MOD(Assumptions!T$201-Contract_Register!$T$34,Assumptions!$C$90)=0,1+Assumptions!$F$180,1),1))</f>
        <v>1.03</v>
      </c>
      <c r="U112" s="107" t="n">
        <f aca="false">IF(U$5="A",IF((Inputs_Actuals!U36*Contract_Register!$K$34+Inputs_Actuals!U69*Contract_Register!$L$34)=0,0,Inputs_Actuals!U102/(Inputs_Actuals!U36*Contract_Register!$K$34+Inputs_Actuals!U69*Contract_Register!$L$34)),T112*IF(AND(Assumptions!U$201&gt;Contract_Register!$T$34,MOD(Assumptions!U$201-Contract_Register!$T$34,12)=0),(1+Assumptions!$F$179)*IF(MOD(Assumptions!U$201-Contract_Register!$T$34,Assumptions!$C$90)=0,1+Assumptions!$F$180,1),1))</f>
        <v>1.03</v>
      </c>
      <c r="V112" s="107" t="n">
        <f aca="false">IF(V$5="A",IF((Inputs_Actuals!V36*Contract_Register!$K$34+Inputs_Actuals!V69*Contract_Register!$L$34)=0,0,Inputs_Actuals!V102/(Inputs_Actuals!V36*Contract_Register!$K$34+Inputs_Actuals!V69*Contract_Register!$L$34)),U112*IF(AND(Assumptions!V$201&gt;Contract_Register!$T$34,MOD(Assumptions!V$201-Contract_Register!$T$34,12)=0),(1+Assumptions!$F$179)*IF(MOD(Assumptions!V$201-Contract_Register!$T$34,Assumptions!$C$90)=0,1+Assumptions!$F$180,1),1))</f>
        <v>1.03</v>
      </c>
      <c r="W112" s="107" t="n">
        <f aca="false">IF(W$5="A",IF((Inputs_Actuals!W36*Contract_Register!$K$34+Inputs_Actuals!W69*Contract_Register!$L$34)=0,0,Inputs_Actuals!W102/(Inputs_Actuals!W36*Contract_Register!$K$34+Inputs_Actuals!W69*Contract_Register!$L$34)),V112*IF(AND(Assumptions!W$201&gt;Contract_Register!$T$34,MOD(Assumptions!W$201-Contract_Register!$T$34,12)=0),(1+Assumptions!$F$179)*IF(MOD(Assumptions!W$201-Contract_Register!$T$34,Assumptions!$C$90)=0,1+Assumptions!$F$180,1),1))</f>
        <v>1.03</v>
      </c>
      <c r="X112" s="107" t="n">
        <f aca="false">IF(X$5="A",IF((Inputs_Actuals!X36*Contract_Register!$K$34+Inputs_Actuals!X69*Contract_Register!$L$34)=0,0,Inputs_Actuals!X102/(Inputs_Actuals!X36*Contract_Register!$K$34+Inputs_Actuals!X69*Contract_Register!$L$34)),W112*IF(AND(Assumptions!X$201&gt;Contract_Register!$T$34,MOD(Assumptions!X$201-Contract_Register!$T$34,12)=0),(1+Assumptions!$F$179)*IF(MOD(Assumptions!X$201-Contract_Register!$T$34,Assumptions!$C$90)=0,1+Assumptions!$F$180,1),1))</f>
        <v>1.03</v>
      </c>
      <c r="Y112" s="107" t="n">
        <f aca="false">IF(Y$5="A",IF((Inputs_Actuals!Y36*Contract_Register!$K$34+Inputs_Actuals!Y69*Contract_Register!$L$34)=0,0,Inputs_Actuals!Y102/(Inputs_Actuals!Y36*Contract_Register!$K$34+Inputs_Actuals!Y69*Contract_Register!$L$34)),X112*IF(AND(Assumptions!Y$201&gt;Contract_Register!$T$34,MOD(Assumptions!Y$201-Contract_Register!$T$34,12)=0),(1+Assumptions!$F$179)*IF(MOD(Assumptions!Y$201-Contract_Register!$T$34,Assumptions!$C$90)=0,1+Assumptions!$F$180,1),1))</f>
        <v>1.03</v>
      </c>
      <c r="Z112" s="107" t="n">
        <f aca="false">IF(Z$5="A",IF((Inputs_Actuals!Z36*Contract_Register!$K$34+Inputs_Actuals!Z69*Contract_Register!$L$34)=0,0,Inputs_Actuals!Z102/(Inputs_Actuals!Z36*Contract_Register!$K$34+Inputs_Actuals!Z69*Contract_Register!$L$34)),Y112*IF(AND(Assumptions!Z$201&gt;Contract_Register!$T$34,MOD(Assumptions!Z$201-Contract_Register!$T$34,12)=0),(1+Assumptions!$F$179)*IF(MOD(Assumptions!Z$201-Contract_Register!$T$34,Assumptions!$C$90)=0,1+Assumptions!$F$180,1),1))</f>
        <v>1.0609</v>
      </c>
      <c r="AA112" s="107" t="n">
        <f aca="false">IF(AA$5="A",IF((Inputs_Actuals!AA36*Contract_Register!$K$34+Inputs_Actuals!AA69*Contract_Register!$L$34)=0,0,Inputs_Actuals!AA102/(Inputs_Actuals!AA36*Contract_Register!$K$34+Inputs_Actuals!AA69*Contract_Register!$L$34)),Z112*IF(AND(Assumptions!AA$201&gt;Contract_Register!$T$34,MOD(Assumptions!AA$201-Contract_Register!$T$34,12)=0),(1+Assumptions!$F$179)*IF(MOD(Assumptions!AA$201-Contract_Register!$T$34,Assumptions!$C$90)=0,1+Assumptions!$F$180,1),1))</f>
        <v>1.0609</v>
      </c>
      <c r="AB112" s="107" t="n">
        <f aca="false">IF(AB$5="A",IF((Inputs_Actuals!AB36*Contract_Register!$K$34+Inputs_Actuals!AB69*Contract_Register!$L$34)=0,0,Inputs_Actuals!AB102/(Inputs_Actuals!AB36*Contract_Register!$K$34+Inputs_Actuals!AB69*Contract_Register!$L$34)),AA112*IF(AND(Assumptions!AB$201&gt;Contract_Register!$T$34,MOD(Assumptions!AB$201-Contract_Register!$T$34,12)=0),(1+Assumptions!$F$179)*IF(MOD(Assumptions!AB$201-Contract_Register!$T$34,Assumptions!$C$90)=0,1+Assumptions!$F$180,1),1))</f>
        <v>1.0609</v>
      </c>
    </row>
    <row r="113" customFormat="false" ht="15" hidden="false" customHeight="false" outlineLevel="0" collapsed="false">
      <c r="A113" s="27" t="s">
        <v>841</v>
      </c>
      <c r="B113" s="63" t="s">
        <v>851</v>
      </c>
      <c r="C113" s="121" t="n">
        <f aca="false">P113</f>
        <v>1.03</v>
      </c>
      <c r="D113" s="121" t="n">
        <f aca="false">AB113</f>
        <v>1.0609</v>
      </c>
      <c r="E113" s="107" t="n">
        <f aca="false">IF(E$5="A",IF((Inputs_Actuals!E37*Contract_Register!$K$35+Inputs_Actuals!E70*Contract_Register!$L$35)=0,0,Inputs_Actuals!E103/(Inputs_Actuals!E37*Contract_Register!$K$35+Inputs_Actuals!E70*Contract_Register!$L$35)),1*IF(AND(Assumptions!E$201&gt;Contract_Register!$T$35,MOD(Assumptions!E$201-Contract_Register!$T$35,12)=0),(1+Assumptions!$F$179)*IF(MOD(Assumptions!E$201-Contract_Register!$T$35,Assumptions!$C$90)=0,1+Assumptions!$F$180,1),1))</f>
        <v>1</v>
      </c>
      <c r="F113" s="107" t="n">
        <f aca="false">IF(F$5="A",IF((Inputs_Actuals!F37*Contract_Register!$K$35+Inputs_Actuals!F70*Contract_Register!$L$35)=0,0,Inputs_Actuals!F103/(Inputs_Actuals!F37*Contract_Register!$K$35+Inputs_Actuals!F70*Contract_Register!$L$35)),E113*IF(AND(Assumptions!F$201&gt;Contract_Register!$T$35,MOD(Assumptions!F$201-Contract_Register!$T$35,12)=0),(1+Assumptions!$F$179)*IF(MOD(Assumptions!F$201-Contract_Register!$T$35,Assumptions!$C$90)=0,1+Assumptions!$F$180,1),1))</f>
        <v>1</v>
      </c>
      <c r="G113" s="107" t="n">
        <f aca="false">IF(G$5="A",IF((Inputs_Actuals!G37*Contract_Register!$K$35+Inputs_Actuals!G70*Contract_Register!$L$35)=0,0,Inputs_Actuals!G103/(Inputs_Actuals!G37*Contract_Register!$K$35+Inputs_Actuals!G70*Contract_Register!$L$35)),F113*IF(AND(Assumptions!G$201&gt;Contract_Register!$T$35,MOD(Assumptions!G$201-Contract_Register!$T$35,12)=0),(1+Assumptions!$F$179)*IF(MOD(Assumptions!G$201-Contract_Register!$T$35,Assumptions!$C$90)=0,1+Assumptions!$F$180,1),1))</f>
        <v>1</v>
      </c>
      <c r="H113" s="107" t="n">
        <f aca="false">IF(H$5="A",IF((Inputs_Actuals!H37*Contract_Register!$K$35+Inputs_Actuals!H70*Contract_Register!$L$35)=0,0,Inputs_Actuals!H103/(Inputs_Actuals!H37*Contract_Register!$K$35+Inputs_Actuals!H70*Contract_Register!$L$35)),G113*IF(AND(Assumptions!H$201&gt;Contract_Register!$T$35,MOD(Assumptions!H$201-Contract_Register!$T$35,12)=0),(1+Assumptions!$F$179)*IF(MOD(Assumptions!H$201-Contract_Register!$T$35,Assumptions!$C$90)=0,1+Assumptions!$F$180,1),1))</f>
        <v>1</v>
      </c>
      <c r="I113" s="107" t="n">
        <f aca="false">IF(I$5="A",IF((Inputs_Actuals!I37*Contract_Register!$K$35+Inputs_Actuals!I70*Contract_Register!$L$35)=0,0,Inputs_Actuals!I103/(Inputs_Actuals!I37*Contract_Register!$K$35+Inputs_Actuals!I70*Contract_Register!$L$35)),H113*IF(AND(Assumptions!I$201&gt;Contract_Register!$T$35,MOD(Assumptions!I$201-Contract_Register!$T$35,12)=0),(1+Assumptions!$F$179)*IF(MOD(Assumptions!I$201-Contract_Register!$T$35,Assumptions!$C$90)=0,1+Assumptions!$F$180,1),1))</f>
        <v>1</v>
      </c>
      <c r="J113" s="107" t="n">
        <f aca="false">IF(J$5="A",IF((Inputs_Actuals!J37*Contract_Register!$K$35+Inputs_Actuals!J70*Contract_Register!$L$35)=0,0,Inputs_Actuals!J103/(Inputs_Actuals!J37*Contract_Register!$K$35+Inputs_Actuals!J70*Contract_Register!$L$35)),I113*IF(AND(Assumptions!J$201&gt;Contract_Register!$T$35,MOD(Assumptions!J$201-Contract_Register!$T$35,12)=0),(1+Assumptions!$F$179)*IF(MOD(Assumptions!J$201-Contract_Register!$T$35,Assumptions!$C$90)=0,1+Assumptions!$F$180,1),1))</f>
        <v>1</v>
      </c>
      <c r="K113" s="107" t="n">
        <f aca="false">IF(K$5="A",IF((Inputs_Actuals!K37*Contract_Register!$K$35+Inputs_Actuals!K70*Contract_Register!$L$35)=0,0,Inputs_Actuals!K103/(Inputs_Actuals!K37*Contract_Register!$K$35+Inputs_Actuals!K70*Contract_Register!$L$35)),J113*IF(AND(Assumptions!K$201&gt;Contract_Register!$T$35,MOD(Assumptions!K$201-Contract_Register!$T$35,12)=0),(1+Assumptions!$F$179)*IF(MOD(Assumptions!K$201-Contract_Register!$T$35,Assumptions!$C$90)=0,1+Assumptions!$F$180,1),1))</f>
        <v>1</v>
      </c>
      <c r="L113" s="107" t="n">
        <f aca="false">IF(L$5="A",IF((Inputs_Actuals!L37*Contract_Register!$K$35+Inputs_Actuals!L70*Contract_Register!$L$35)=0,0,Inputs_Actuals!L103/(Inputs_Actuals!L37*Contract_Register!$K$35+Inputs_Actuals!L70*Contract_Register!$L$35)),K113*IF(AND(Assumptions!L$201&gt;Contract_Register!$T$35,MOD(Assumptions!L$201-Contract_Register!$T$35,12)=0),(1+Assumptions!$F$179)*IF(MOD(Assumptions!L$201-Contract_Register!$T$35,Assumptions!$C$90)=0,1+Assumptions!$F$180,1),1))</f>
        <v>1</v>
      </c>
      <c r="M113" s="107" t="n">
        <f aca="false">IF(M$5="A",IF((Inputs_Actuals!M37*Contract_Register!$K$35+Inputs_Actuals!M70*Contract_Register!$L$35)=0,0,Inputs_Actuals!M103/(Inputs_Actuals!M37*Contract_Register!$K$35+Inputs_Actuals!M70*Contract_Register!$L$35)),L113*IF(AND(Assumptions!M$201&gt;Contract_Register!$T$35,MOD(Assumptions!M$201-Contract_Register!$T$35,12)=0),(1+Assumptions!$F$179)*IF(MOD(Assumptions!M$201-Contract_Register!$T$35,Assumptions!$C$90)=0,1+Assumptions!$F$180,1),1))</f>
        <v>1</v>
      </c>
      <c r="N113" s="107" t="n">
        <f aca="false">IF(N$5="A",IF((Inputs_Actuals!N37*Contract_Register!$K$35+Inputs_Actuals!N70*Contract_Register!$L$35)=0,0,Inputs_Actuals!N103/(Inputs_Actuals!N37*Contract_Register!$K$35+Inputs_Actuals!N70*Contract_Register!$L$35)),M113*IF(AND(Assumptions!N$201&gt;Contract_Register!$T$35,MOD(Assumptions!N$201-Contract_Register!$T$35,12)=0),(1+Assumptions!$F$179)*IF(MOD(Assumptions!N$201-Contract_Register!$T$35,Assumptions!$C$90)=0,1+Assumptions!$F$180,1),1))</f>
        <v>1</v>
      </c>
      <c r="O113" s="107" t="n">
        <f aca="false">IF(O$5="A",IF((Inputs_Actuals!O37*Contract_Register!$K$35+Inputs_Actuals!O70*Contract_Register!$L$35)=0,0,Inputs_Actuals!O103/(Inputs_Actuals!O37*Contract_Register!$K$35+Inputs_Actuals!O70*Contract_Register!$L$35)),N113*IF(AND(Assumptions!O$201&gt;Contract_Register!$T$35,MOD(Assumptions!O$201-Contract_Register!$T$35,12)=0),(1+Assumptions!$F$179)*IF(MOD(Assumptions!O$201-Contract_Register!$T$35,Assumptions!$C$90)=0,1+Assumptions!$F$180,1),1))</f>
        <v>1</v>
      </c>
      <c r="P113" s="107" t="n">
        <f aca="false">IF(P$5="A",IF((Inputs_Actuals!P37*Contract_Register!$K$35+Inputs_Actuals!P70*Contract_Register!$L$35)=0,0,Inputs_Actuals!P103/(Inputs_Actuals!P37*Contract_Register!$K$35+Inputs_Actuals!P70*Contract_Register!$L$35)),O113*IF(AND(Assumptions!P$201&gt;Contract_Register!$T$35,MOD(Assumptions!P$201-Contract_Register!$T$35,12)=0),(1+Assumptions!$F$179)*IF(MOD(Assumptions!P$201-Contract_Register!$T$35,Assumptions!$C$90)=0,1+Assumptions!$F$180,1),1))</f>
        <v>1.03</v>
      </c>
      <c r="Q113" s="107" t="n">
        <f aca="false">IF(Q$5="A",IF((Inputs_Actuals!Q37*Contract_Register!$K$35+Inputs_Actuals!Q70*Contract_Register!$L$35)=0,0,Inputs_Actuals!Q103/(Inputs_Actuals!Q37*Contract_Register!$K$35+Inputs_Actuals!Q70*Contract_Register!$L$35)),P113*IF(AND(Assumptions!Q$201&gt;Contract_Register!$T$35,MOD(Assumptions!Q$201-Contract_Register!$T$35,12)=0),(1+Assumptions!$F$179)*IF(MOD(Assumptions!Q$201-Contract_Register!$T$35,Assumptions!$C$90)=0,1+Assumptions!$F$180,1),1))</f>
        <v>1.03</v>
      </c>
      <c r="R113" s="107" t="n">
        <f aca="false">IF(R$5="A",IF((Inputs_Actuals!R37*Contract_Register!$K$35+Inputs_Actuals!R70*Contract_Register!$L$35)=0,0,Inputs_Actuals!R103/(Inputs_Actuals!R37*Contract_Register!$K$35+Inputs_Actuals!R70*Contract_Register!$L$35)),Q113*IF(AND(Assumptions!R$201&gt;Contract_Register!$T$35,MOD(Assumptions!R$201-Contract_Register!$T$35,12)=0),(1+Assumptions!$F$179)*IF(MOD(Assumptions!R$201-Contract_Register!$T$35,Assumptions!$C$90)=0,1+Assumptions!$F$180,1),1))</f>
        <v>1.03</v>
      </c>
      <c r="S113" s="107" t="n">
        <f aca="false">IF(S$5="A",IF((Inputs_Actuals!S37*Contract_Register!$K$35+Inputs_Actuals!S70*Contract_Register!$L$35)=0,0,Inputs_Actuals!S103/(Inputs_Actuals!S37*Contract_Register!$K$35+Inputs_Actuals!S70*Contract_Register!$L$35)),R113*IF(AND(Assumptions!S$201&gt;Contract_Register!$T$35,MOD(Assumptions!S$201-Contract_Register!$T$35,12)=0),(1+Assumptions!$F$179)*IF(MOD(Assumptions!S$201-Contract_Register!$T$35,Assumptions!$C$90)=0,1+Assumptions!$F$180,1),1))</f>
        <v>1.03</v>
      </c>
      <c r="T113" s="107" t="n">
        <f aca="false">IF(T$5="A",IF((Inputs_Actuals!T37*Contract_Register!$K$35+Inputs_Actuals!T70*Contract_Register!$L$35)=0,0,Inputs_Actuals!T103/(Inputs_Actuals!T37*Contract_Register!$K$35+Inputs_Actuals!T70*Contract_Register!$L$35)),S113*IF(AND(Assumptions!T$201&gt;Contract_Register!$T$35,MOD(Assumptions!T$201-Contract_Register!$T$35,12)=0),(1+Assumptions!$F$179)*IF(MOD(Assumptions!T$201-Contract_Register!$T$35,Assumptions!$C$90)=0,1+Assumptions!$F$180,1),1))</f>
        <v>1.03</v>
      </c>
      <c r="U113" s="107" t="n">
        <f aca="false">IF(U$5="A",IF((Inputs_Actuals!U37*Contract_Register!$K$35+Inputs_Actuals!U70*Contract_Register!$L$35)=0,0,Inputs_Actuals!U103/(Inputs_Actuals!U37*Contract_Register!$K$35+Inputs_Actuals!U70*Contract_Register!$L$35)),T113*IF(AND(Assumptions!U$201&gt;Contract_Register!$T$35,MOD(Assumptions!U$201-Contract_Register!$T$35,12)=0),(1+Assumptions!$F$179)*IF(MOD(Assumptions!U$201-Contract_Register!$T$35,Assumptions!$C$90)=0,1+Assumptions!$F$180,1),1))</f>
        <v>1.03</v>
      </c>
      <c r="V113" s="107" t="n">
        <f aca="false">IF(V$5="A",IF((Inputs_Actuals!V37*Contract_Register!$K$35+Inputs_Actuals!V70*Contract_Register!$L$35)=0,0,Inputs_Actuals!V103/(Inputs_Actuals!V37*Contract_Register!$K$35+Inputs_Actuals!V70*Contract_Register!$L$35)),U113*IF(AND(Assumptions!V$201&gt;Contract_Register!$T$35,MOD(Assumptions!V$201-Contract_Register!$T$35,12)=0),(1+Assumptions!$F$179)*IF(MOD(Assumptions!V$201-Contract_Register!$T$35,Assumptions!$C$90)=0,1+Assumptions!$F$180,1),1))</f>
        <v>1.03</v>
      </c>
      <c r="W113" s="107" t="n">
        <f aca="false">IF(W$5="A",IF((Inputs_Actuals!W37*Contract_Register!$K$35+Inputs_Actuals!W70*Contract_Register!$L$35)=0,0,Inputs_Actuals!W103/(Inputs_Actuals!W37*Contract_Register!$K$35+Inputs_Actuals!W70*Contract_Register!$L$35)),V113*IF(AND(Assumptions!W$201&gt;Contract_Register!$T$35,MOD(Assumptions!W$201-Contract_Register!$T$35,12)=0),(1+Assumptions!$F$179)*IF(MOD(Assumptions!W$201-Contract_Register!$T$35,Assumptions!$C$90)=0,1+Assumptions!$F$180,1),1))</f>
        <v>1.03</v>
      </c>
      <c r="X113" s="107" t="n">
        <f aca="false">IF(X$5="A",IF((Inputs_Actuals!X37*Contract_Register!$K$35+Inputs_Actuals!X70*Contract_Register!$L$35)=0,0,Inputs_Actuals!X103/(Inputs_Actuals!X37*Contract_Register!$K$35+Inputs_Actuals!X70*Contract_Register!$L$35)),W113*IF(AND(Assumptions!X$201&gt;Contract_Register!$T$35,MOD(Assumptions!X$201-Contract_Register!$T$35,12)=0),(1+Assumptions!$F$179)*IF(MOD(Assumptions!X$201-Contract_Register!$T$35,Assumptions!$C$90)=0,1+Assumptions!$F$180,1),1))</f>
        <v>1.03</v>
      </c>
      <c r="Y113" s="107" t="n">
        <f aca="false">IF(Y$5="A",IF((Inputs_Actuals!Y37*Contract_Register!$K$35+Inputs_Actuals!Y70*Contract_Register!$L$35)=0,0,Inputs_Actuals!Y103/(Inputs_Actuals!Y37*Contract_Register!$K$35+Inputs_Actuals!Y70*Contract_Register!$L$35)),X113*IF(AND(Assumptions!Y$201&gt;Contract_Register!$T$35,MOD(Assumptions!Y$201-Contract_Register!$T$35,12)=0),(1+Assumptions!$F$179)*IF(MOD(Assumptions!Y$201-Contract_Register!$T$35,Assumptions!$C$90)=0,1+Assumptions!$F$180,1),1))</f>
        <v>1.03</v>
      </c>
      <c r="Z113" s="107" t="n">
        <f aca="false">IF(Z$5="A",IF((Inputs_Actuals!Z37*Contract_Register!$K$35+Inputs_Actuals!Z70*Contract_Register!$L$35)=0,0,Inputs_Actuals!Z103/(Inputs_Actuals!Z37*Contract_Register!$K$35+Inputs_Actuals!Z70*Contract_Register!$L$35)),Y113*IF(AND(Assumptions!Z$201&gt;Contract_Register!$T$35,MOD(Assumptions!Z$201-Contract_Register!$T$35,12)=0),(1+Assumptions!$F$179)*IF(MOD(Assumptions!Z$201-Contract_Register!$T$35,Assumptions!$C$90)=0,1+Assumptions!$F$180,1),1))</f>
        <v>1.03</v>
      </c>
      <c r="AA113" s="107" t="n">
        <f aca="false">IF(AA$5="A",IF((Inputs_Actuals!AA37*Contract_Register!$K$35+Inputs_Actuals!AA70*Contract_Register!$L$35)=0,0,Inputs_Actuals!AA103/(Inputs_Actuals!AA37*Contract_Register!$K$35+Inputs_Actuals!AA70*Contract_Register!$L$35)),Z113*IF(AND(Assumptions!AA$201&gt;Contract_Register!$T$35,MOD(Assumptions!AA$201-Contract_Register!$T$35,12)=0),(1+Assumptions!$F$179)*IF(MOD(Assumptions!AA$201-Contract_Register!$T$35,Assumptions!$C$90)=0,1+Assumptions!$F$180,1),1))</f>
        <v>1.03</v>
      </c>
      <c r="AB113" s="107" t="n">
        <f aca="false">IF(AB$5="A",IF((Inputs_Actuals!AB37*Contract_Register!$K$35+Inputs_Actuals!AB70*Contract_Register!$L$35)=0,0,Inputs_Actuals!AB103/(Inputs_Actuals!AB37*Contract_Register!$K$35+Inputs_Actuals!AB70*Contract_Register!$L$35)),AA113*IF(AND(Assumptions!AB$201&gt;Contract_Register!$T$35,MOD(Assumptions!AB$201-Contract_Register!$T$35,12)=0),(1+Assumptions!$F$179)*IF(MOD(Assumptions!AB$201-Contract_Register!$T$35,Assumptions!$C$90)=0,1+Assumptions!$F$180,1),1))</f>
        <v>1.0609</v>
      </c>
    </row>
    <row r="114" customFormat="false" ht="15" hidden="false" customHeight="false" outlineLevel="0" collapsed="false">
      <c r="A114" s="27" t="s">
        <v>842</v>
      </c>
      <c r="B114" s="63" t="s">
        <v>851</v>
      </c>
      <c r="C114" s="121" t="n">
        <f aca="false">P114</f>
        <v>1.026</v>
      </c>
      <c r="D114" s="121" t="n">
        <f aca="false">AB114</f>
        <v>1.05678</v>
      </c>
      <c r="E114" s="107" t="n">
        <f aca="false">IF(E$5="A",IF((Inputs_Actuals!E38*Contract_Register!$K$36+Inputs_Actuals!E71*Contract_Register!$L$36)=0,0,Inputs_Actuals!E104/(Inputs_Actuals!E38*Contract_Register!$K$36+Inputs_Actuals!E71*Contract_Register!$L$36)),1*IF(AND(Assumptions!E$201&gt;Contract_Register!$T$36,MOD(Assumptions!E$201-Contract_Register!$T$36,12)=0),(1+Assumptions!$F$179)*IF(MOD(Assumptions!E$201-Contract_Register!$T$36,Assumptions!$C$90)=0,1+Assumptions!$F$180,1),1))</f>
        <v>1</v>
      </c>
      <c r="F114" s="107" t="n">
        <f aca="false">IF(F$5="A",IF((Inputs_Actuals!F38*Contract_Register!$K$36+Inputs_Actuals!F71*Contract_Register!$L$36)=0,0,Inputs_Actuals!F104/(Inputs_Actuals!F38*Contract_Register!$K$36+Inputs_Actuals!F71*Contract_Register!$L$36)),E114*IF(AND(Assumptions!F$201&gt;Contract_Register!$T$36,MOD(Assumptions!F$201-Contract_Register!$T$36,12)=0),(1+Assumptions!$F$179)*IF(MOD(Assumptions!F$201-Contract_Register!$T$36,Assumptions!$C$90)=0,1+Assumptions!$F$180,1),1))</f>
        <v>1</v>
      </c>
      <c r="G114" s="107" t="n">
        <f aca="false">IF(G$5="A",IF((Inputs_Actuals!G38*Contract_Register!$K$36+Inputs_Actuals!G71*Contract_Register!$L$36)=0,0,Inputs_Actuals!G104/(Inputs_Actuals!G38*Contract_Register!$K$36+Inputs_Actuals!G71*Contract_Register!$L$36)),F114*IF(AND(Assumptions!G$201&gt;Contract_Register!$T$36,MOD(Assumptions!G$201-Contract_Register!$T$36,12)=0),(1+Assumptions!$F$179)*IF(MOD(Assumptions!G$201-Contract_Register!$T$36,Assumptions!$C$90)=0,1+Assumptions!$F$180,1),1))</f>
        <v>1</v>
      </c>
      <c r="H114" s="107" t="n">
        <f aca="false">IF(H$5="A",IF((Inputs_Actuals!H38*Contract_Register!$K$36+Inputs_Actuals!H71*Contract_Register!$L$36)=0,0,Inputs_Actuals!H104/(Inputs_Actuals!H38*Contract_Register!$K$36+Inputs_Actuals!H71*Contract_Register!$L$36)),G114*IF(AND(Assumptions!H$201&gt;Contract_Register!$T$36,MOD(Assumptions!H$201-Contract_Register!$T$36,12)=0),(1+Assumptions!$F$179)*IF(MOD(Assumptions!H$201-Contract_Register!$T$36,Assumptions!$C$90)=0,1+Assumptions!$F$180,1),1))</f>
        <v>1</v>
      </c>
      <c r="I114" s="107" t="n">
        <f aca="false">IF(I$5="A",IF((Inputs_Actuals!I38*Contract_Register!$K$36+Inputs_Actuals!I71*Contract_Register!$L$36)=0,0,Inputs_Actuals!I104/(Inputs_Actuals!I38*Contract_Register!$K$36+Inputs_Actuals!I71*Contract_Register!$L$36)),H114*IF(AND(Assumptions!I$201&gt;Contract_Register!$T$36,MOD(Assumptions!I$201-Contract_Register!$T$36,12)=0),(1+Assumptions!$F$179)*IF(MOD(Assumptions!I$201-Contract_Register!$T$36,Assumptions!$C$90)=0,1+Assumptions!$F$180,1),1))</f>
        <v>1</v>
      </c>
      <c r="J114" s="107" t="n">
        <f aca="false">IF(J$5="A",IF((Inputs_Actuals!J38*Contract_Register!$K$36+Inputs_Actuals!J71*Contract_Register!$L$36)=0,0,Inputs_Actuals!J104/(Inputs_Actuals!J38*Contract_Register!$K$36+Inputs_Actuals!J71*Contract_Register!$L$36)),I114*IF(AND(Assumptions!J$201&gt;Contract_Register!$T$36,MOD(Assumptions!J$201-Contract_Register!$T$36,12)=0),(1+Assumptions!$F$179)*IF(MOD(Assumptions!J$201-Contract_Register!$T$36,Assumptions!$C$90)=0,1+Assumptions!$F$180,1),1))</f>
        <v>1</v>
      </c>
      <c r="K114" s="107" t="n">
        <f aca="false">IF(K$5="A",IF((Inputs_Actuals!K38*Contract_Register!$K$36+Inputs_Actuals!K71*Contract_Register!$L$36)=0,0,Inputs_Actuals!K104/(Inputs_Actuals!K38*Contract_Register!$K$36+Inputs_Actuals!K71*Contract_Register!$L$36)),J114*IF(AND(Assumptions!K$201&gt;Contract_Register!$T$36,MOD(Assumptions!K$201-Contract_Register!$T$36,12)=0),(1+Assumptions!$F$179)*IF(MOD(Assumptions!K$201-Contract_Register!$T$36,Assumptions!$C$90)=0,1+Assumptions!$F$180,1),1))</f>
        <v>1.026</v>
      </c>
      <c r="L114" s="107" t="n">
        <f aca="false">IF(L$5="A",IF((Inputs_Actuals!L38*Contract_Register!$K$36+Inputs_Actuals!L71*Contract_Register!$L$36)=0,0,Inputs_Actuals!L104/(Inputs_Actuals!L38*Contract_Register!$K$36+Inputs_Actuals!L71*Contract_Register!$L$36)),K114*IF(AND(Assumptions!L$201&gt;Contract_Register!$T$36,MOD(Assumptions!L$201-Contract_Register!$T$36,12)=0),(1+Assumptions!$F$179)*IF(MOD(Assumptions!L$201-Contract_Register!$T$36,Assumptions!$C$90)=0,1+Assumptions!$F$180,1),1))</f>
        <v>1.026</v>
      </c>
      <c r="M114" s="107" t="n">
        <f aca="false">IF(M$5="A",IF((Inputs_Actuals!M38*Contract_Register!$K$36+Inputs_Actuals!M71*Contract_Register!$L$36)=0,0,Inputs_Actuals!M104/(Inputs_Actuals!M38*Contract_Register!$K$36+Inputs_Actuals!M71*Contract_Register!$L$36)),L114*IF(AND(Assumptions!M$201&gt;Contract_Register!$T$36,MOD(Assumptions!M$201-Contract_Register!$T$36,12)=0),(1+Assumptions!$F$179)*IF(MOD(Assumptions!M$201-Contract_Register!$T$36,Assumptions!$C$90)=0,1+Assumptions!$F$180,1),1))</f>
        <v>1.026</v>
      </c>
      <c r="N114" s="107" t="n">
        <f aca="false">IF(N$5="A",IF((Inputs_Actuals!N38*Contract_Register!$K$36+Inputs_Actuals!N71*Contract_Register!$L$36)=0,0,Inputs_Actuals!N104/(Inputs_Actuals!N38*Contract_Register!$K$36+Inputs_Actuals!N71*Contract_Register!$L$36)),M114*IF(AND(Assumptions!N$201&gt;Contract_Register!$T$36,MOD(Assumptions!N$201-Contract_Register!$T$36,12)=0),(1+Assumptions!$F$179)*IF(MOD(Assumptions!N$201-Contract_Register!$T$36,Assumptions!$C$90)=0,1+Assumptions!$F$180,1),1))</f>
        <v>1.026</v>
      </c>
      <c r="O114" s="107" t="n">
        <f aca="false">IF(O$5="A",IF((Inputs_Actuals!O38*Contract_Register!$K$36+Inputs_Actuals!O71*Contract_Register!$L$36)=0,0,Inputs_Actuals!O104/(Inputs_Actuals!O38*Contract_Register!$K$36+Inputs_Actuals!O71*Contract_Register!$L$36)),N114*IF(AND(Assumptions!O$201&gt;Contract_Register!$T$36,MOD(Assumptions!O$201-Contract_Register!$T$36,12)=0),(1+Assumptions!$F$179)*IF(MOD(Assumptions!O$201-Contract_Register!$T$36,Assumptions!$C$90)=0,1+Assumptions!$F$180,1),1))</f>
        <v>1.026</v>
      </c>
      <c r="P114" s="107" t="n">
        <f aca="false">IF(P$5="A",IF((Inputs_Actuals!P38*Contract_Register!$K$36+Inputs_Actuals!P71*Contract_Register!$L$36)=0,0,Inputs_Actuals!P104/(Inputs_Actuals!P38*Contract_Register!$K$36+Inputs_Actuals!P71*Contract_Register!$L$36)),O114*IF(AND(Assumptions!P$201&gt;Contract_Register!$T$36,MOD(Assumptions!P$201-Contract_Register!$T$36,12)=0),(1+Assumptions!$F$179)*IF(MOD(Assumptions!P$201-Contract_Register!$T$36,Assumptions!$C$90)=0,1+Assumptions!$F$180,1),1))</f>
        <v>1.026</v>
      </c>
      <c r="Q114" s="107" t="n">
        <f aca="false">IF(Q$5="A",IF((Inputs_Actuals!Q38*Contract_Register!$K$36+Inputs_Actuals!Q71*Contract_Register!$L$36)=0,0,Inputs_Actuals!Q104/(Inputs_Actuals!Q38*Contract_Register!$K$36+Inputs_Actuals!Q71*Contract_Register!$L$36)),P114*IF(AND(Assumptions!Q$201&gt;Contract_Register!$T$36,MOD(Assumptions!Q$201-Contract_Register!$T$36,12)=0),(1+Assumptions!$F$179)*IF(MOD(Assumptions!Q$201-Contract_Register!$T$36,Assumptions!$C$90)=0,1+Assumptions!$F$180,1),1))</f>
        <v>1.026</v>
      </c>
      <c r="R114" s="107" t="n">
        <f aca="false">IF(R$5="A",IF((Inputs_Actuals!R38*Contract_Register!$K$36+Inputs_Actuals!R71*Contract_Register!$L$36)=0,0,Inputs_Actuals!R104/(Inputs_Actuals!R38*Contract_Register!$K$36+Inputs_Actuals!R71*Contract_Register!$L$36)),Q114*IF(AND(Assumptions!R$201&gt;Contract_Register!$T$36,MOD(Assumptions!R$201-Contract_Register!$T$36,12)=0),(1+Assumptions!$F$179)*IF(MOD(Assumptions!R$201-Contract_Register!$T$36,Assumptions!$C$90)=0,1+Assumptions!$F$180,1),1))</f>
        <v>1.026</v>
      </c>
      <c r="S114" s="107" t="n">
        <f aca="false">IF(S$5="A",IF((Inputs_Actuals!S38*Contract_Register!$K$36+Inputs_Actuals!S71*Contract_Register!$L$36)=0,0,Inputs_Actuals!S104/(Inputs_Actuals!S38*Contract_Register!$K$36+Inputs_Actuals!S71*Contract_Register!$L$36)),R114*IF(AND(Assumptions!S$201&gt;Contract_Register!$T$36,MOD(Assumptions!S$201-Contract_Register!$T$36,12)=0),(1+Assumptions!$F$179)*IF(MOD(Assumptions!S$201-Contract_Register!$T$36,Assumptions!$C$90)=0,1+Assumptions!$F$180,1),1))</f>
        <v>1.026</v>
      </c>
      <c r="T114" s="107" t="n">
        <f aca="false">IF(T$5="A",IF((Inputs_Actuals!T38*Contract_Register!$K$36+Inputs_Actuals!T71*Contract_Register!$L$36)=0,0,Inputs_Actuals!T104/(Inputs_Actuals!T38*Contract_Register!$K$36+Inputs_Actuals!T71*Contract_Register!$L$36)),S114*IF(AND(Assumptions!T$201&gt;Contract_Register!$T$36,MOD(Assumptions!T$201-Contract_Register!$T$36,12)=0),(1+Assumptions!$F$179)*IF(MOD(Assumptions!T$201-Contract_Register!$T$36,Assumptions!$C$90)=0,1+Assumptions!$F$180,1),1))</f>
        <v>1.026</v>
      </c>
      <c r="U114" s="107" t="n">
        <f aca="false">IF(U$5="A",IF((Inputs_Actuals!U38*Contract_Register!$K$36+Inputs_Actuals!U71*Contract_Register!$L$36)=0,0,Inputs_Actuals!U104/(Inputs_Actuals!U38*Contract_Register!$K$36+Inputs_Actuals!U71*Contract_Register!$L$36)),T114*IF(AND(Assumptions!U$201&gt;Contract_Register!$T$36,MOD(Assumptions!U$201-Contract_Register!$T$36,12)=0),(1+Assumptions!$F$179)*IF(MOD(Assumptions!U$201-Contract_Register!$T$36,Assumptions!$C$90)=0,1+Assumptions!$F$180,1),1))</f>
        <v>1.026</v>
      </c>
      <c r="V114" s="107" t="n">
        <f aca="false">IF(V$5="A",IF((Inputs_Actuals!V38*Contract_Register!$K$36+Inputs_Actuals!V71*Contract_Register!$L$36)=0,0,Inputs_Actuals!V104/(Inputs_Actuals!V38*Contract_Register!$K$36+Inputs_Actuals!V71*Contract_Register!$L$36)),U114*IF(AND(Assumptions!V$201&gt;Contract_Register!$T$36,MOD(Assumptions!V$201-Contract_Register!$T$36,12)=0),(1+Assumptions!$F$179)*IF(MOD(Assumptions!V$201-Contract_Register!$T$36,Assumptions!$C$90)=0,1+Assumptions!$F$180,1),1))</f>
        <v>1.026</v>
      </c>
      <c r="W114" s="107" t="n">
        <f aca="false">IF(W$5="A",IF((Inputs_Actuals!W38*Contract_Register!$K$36+Inputs_Actuals!W71*Contract_Register!$L$36)=0,0,Inputs_Actuals!W104/(Inputs_Actuals!W38*Contract_Register!$K$36+Inputs_Actuals!W71*Contract_Register!$L$36)),V114*IF(AND(Assumptions!W$201&gt;Contract_Register!$T$36,MOD(Assumptions!W$201-Contract_Register!$T$36,12)=0),(1+Assumptions!$F$179)*IF(MOD(Assumptions!W$201-Contract_Register!$T$36,Assumptions!$C$90)=0,1+Assumptions!$F$180,1),1))</f>
        <v>1.05678</v>
      </c>
      <c r="X114" s="107" t="n">
        <f aca="false">IF(X$5="A",IF((Inputs_Actuals!X38*Contract_Register!$K$36+Inputs_Actuals!X71*Contract_Register!$L$36)=0,0,Inputs_Actuals!X104/(Inputs_Actuals!X38*Contract_Register!$K$36+Inputs_Actuals!X71*Contract_Register!$L$36)),W114*IF(AND(Assumptions!X$201&gt;Contract_Register!$T$36,MOD(Assumptions!X$201-Contract_Register!$T$36,12)=0),(1+Assumptions!$F$179)*IF(MOD(Assumptions!X$201-Contract_Register!$T$36,Assumptions!$C$90)=0,1+Assumptions!$F$180,1),1))</f>
        <v>1.05678</v>
      </c>
      <c r="Y114" s="107" t="n">
        <f aca="false">IF(Y$5="A",IF((Inputs_Actuals!Y38*Contract_Register!$K$36+Inputs_Actuals!Y71*Contract_Register!$L$36)=0,0,Inputs_Actuals!Y104/(Inputs_Actuals!Y38*Contract_Register!$K$36+Inputs_Actuals!Y71*Contract_Register!$L$36)),X114*IF(AND(Assumptions!Y$201&gt;Contract_Register!$T$36,MOD(Assumptions!Y$201-Contract_Register!$T$36,12)=0),(1+Assumptions!$F$179)*IF(MOD(Assumptions!Y$201-Contract_Register!$T$36,Assumptions!$C$90)=0,1+Assumptions!$F$180,1),1))</f>
        <v>1.05678</v>
      </c>
      <c r="Z114" s="107" t="n">
        <f aca="false">IF(Z$5="A",IF((Inputs_Actuals!Z38*Contract_Register!$K$36+Inputs_Actuals!Z71*Contract_Register!$L$36)=0,0,Inputs_Actuals!Z104/(Inputs_Actuals!Z38*Contract_Register!$K$36+Inputs_Actuals!Z71*Contract_Register!$L$36)),Y114*IF(AND(Assumptions!Z$201&gt;Contract_Register!$T$36,MOD(Assumptions!Z$201-Contract_Register!$T$36,12)=0),(1+Assumptions!$F$179)*IF(MOD(Assumptions!Z$201-Contract_Register!$T$36,Assumptions!$C$90)=0,1+Assumptions!$F$180,1),1))</f>
        <v>1.05678</v>
      </c>
      <c r="AA114" s="107" t="n">
        <f aca="false">IF(AA$5="A",IF((Inputs_Actuals!AA38*Contract_Register!$K$36+Inputs_Actuals!AA71*Contract_Register!$L$36)=0,0,Inputs_Actuals!AA104/(Inputs_Actuals!AA38*Contract_Register!$K$36+Inputs_Actuals!AA71*Contract_Register!$L$36)),Z114*IF(AND(Assumptions!AA$201&gt;Contract_Register!$T$36,MOD(Assumptions!AA$201-Contract_Register!$T$36,12)=0),(1+Assumptions!$F$179)*IF(MOD(Assumptions!AA$201-Contract_Register!$T$36,Assumptions!$C$90)=0,1+Assumptions!$F$180,1),1))</f>
        <v>1.05678</v>
      </c>
      <c r="AB114" s="107" t="n">
        <f aca="false">IF(AB$5="A",IF((Inputs_Actuals!AB38*Contract_Register!$K$36+Inputs_Actuals!AB71*Contract_Register!$L$36)=0,0,Inputs_Actuals!AB104/(Inputs_Actuals!AB38*Contract_Register!$K$36+Inputs_Actuals!AB71*Contract_Register!$L$36)),AA114*IF(AND(Assumptions!AB$201&gt;Contract_Register!$T$36,MOD(Assumptions!AB$201-Contract_Register!$T$36,12)=0),(1+Assumptions!$F$179)*IF(MOD(Assumptions!AB$201-Contract_Register!$T$36,Assumptions!$C$90)=0,1+Assumptions!$F$180,1),1))</f>
        <v>1.05678</v>
      </c>
    </row>
    <row r="115" customFormat="false" ht="15" hidden="false" customHeight="false" outlineLevel="0" collapsed="false">
      <c r="A115" s="27" t="s">
        <v>843</v>
      </c>
      <c r="B115" s="63" t="s">
        <v>851</v>
      </c>
      <c r="C115" s="121" t="n">
        <f aca="false">P115</f>
        <v>1</v>
      </c>
      <c r="D115" s="121" t="n">
        <f aca="false">AB115</f>
        <v>1.03</v>
      </c>
      <c r="E115" s="107" t="n">
        <f aca="false">IF(E$5="A",IF((Inputs_Actuals!E39*Contract_Register!$K$37+Inputs_Actuals!E72*Contract_Register!$L$37)=0,0,Inputs_Actuals!E105/(Inputs_Actuals!E39*Contract_Register!$K$37+Inputs_Actuals!E72*Contract_Register!$L$37)),0*IF(AND(Assumptions!E$201&gt;Contract_Register!$T$37,MOD(Assumptions!E$201-Contract_Register!$T$37,12)=0),(1+Assumptions!$F$179)*IF(MOD(Assumptions!E$201-Contract_Register!$T$37,Assumptions!$C$90)=0,1+Assumptions!$F$180,1),1))</f>
        <v>0</v>
      </c>
      <c r="F115" s="107" t="n">
        <f aca="false">IF(F$5="A",IF((Inputs_Actuals!F39*Contract_Register!$K$37+Inputs_Actuals!F72*Contract_Register!$L$37)=0,0,Inputs_Actuals!F105/(Inputs_Actuals!F39*Contract_Register!$K$37+Inputs_Actuals!F72*Contract_Register!$L$37)),E115*IF(AND(Assumptions!F$201&gt;Contract_Register!$T$37,MOD(Assumptions!F$201-Contract_Register!$T$37,12)=0),(1+Assumptions!$F$179)*IF(MOD(Assumptions!F$201-Contract_Register!$T$37,Assumptions!$C$90)=0,1+Assumptions!$F$180,1),1))</f>
        <v>0</v>
      </c>
      <c r="G115" s="107" t="n">
        <f aca="false">IF(G$5="A",IF((Inputs_Actuals!G39*Contract_Register!$K$37+Inputs_Actuals!G72*Contract_Register!$L$37)=0,0,Inputs_Actuals!G105/(Inputs_Actuals!G39*Contract_Register!$K$37+Inputs_Actuals!G72*Contract_Register!$L$37)),F115*IF(AND(Assumptions!G$201&gt;Contract_Register!$T$37,MOD(Assumptions!G$201-Contract_Register!$T$37,12)=0),(1+Assumptions!$F$179)*IF(MOD(Assumptions!G$201-Contract_Register!$T$37,Assumptions!$C$90)=0,1+Assumptions!$F$180,1),1))</f>
        <v>1</v>
      </c>
      <c r="H115" s="107" t="n">
        <f aca="false">IF(H$5="A",IF((Inputs_Actuals!H39*Contract_Register!$K$37+Inputs_Actuals!H72*Contract_Register!$L$37)=0,0,Inputs_Actuals!H105/(Inputs_Actuals!H39*Contract_Register!$K$37+Inputs_Actuals!H72*Contract_Register!$L$37)),G115*IF(AND(Assumptions!H$201&gt;Contract_Register!$T$37,MOD(Assumptions!H$201-Contract_Register!$T$37,12)=0),(1+Assumptions!$F$179)*IF(MOD(Assumptions!H$201-Contract_Register!$T$37,Assumptions!$C$90)=0,1+Assumptions!$F$180,1),1))</f>
        <v>1</v>
      </c>
      <c r="I115" s="107" t="n">
        <f aca="false">IF(I$5="A",IF((Inputs_Actuals!I39*Contract_Register!$K$37+Inputs_Actuals!I72*Contract_Register!$L$37)=0,0,Inputs_Actuals!I105/(Inputs_Actuals!I39*Contract_Register!$K$37+Inputs_Actuals!I72*Contract_Register!$L$37)),H115*IF(AND(Assumptions!I$201&gt;Contract_Register!$T$37,MOD(Assumptions!I$201-Contract_Register!$T$37,12)=0),(1+Assumptions!$F$179)*IF(MOD(Assumptions!I$201-Contract_Register!$T$37,Assumptions!$C$90)=0,1+Assumptions!$F$180,1),1))</f>
        <v>1</v>
      </c>
      <c r="J115" s="107" t="n">
        <f aca="false">IF(J$5="A",IF((Inputs_Actuals!J39*Contract_Register!$K$37+Inputs_Actuals!J72*Contract_Register!$L$37)=0,0,Inputs_Actuals!J105/(Inputs_Actuals!J39*Contract_Register!$K$37+Inputs_Actuals!J72*Contract_Register!$L$37)),I115*IF(AND(Assumptions!J$201&gt;Contract_Register!$T$37,MOD(Assumptions!J$201-Contract_Register!$T$37,12)=0),(1+Assumptions!$F$179)*IF(MOD(Assumptions!J$201-Contract_Register!$T$37,Assumptions!$C$90)=0,1+Assumptions!$F$180,1),1))</f>
        <v>1</v>
      </c>
      <c r="K115" s="107" t="n">
        <f aca="false">IF(K$5="A",IF((Inputs_Actuals!K39*Contract_Register!$K$37+Inputs_Actuals!K72*Contract_Register!$L$37)=0,0,Inputs_Actuals!K105/(Inputs_Actuals!K39*Contract_Register!$K$37+Inputs_Actuals!K72*Contract_Register!$L$37)),J115*IF(AND(Assumptions!K$201&gt;Contract_Register!$T$37,MOD(Assumptions!K$201-Contract_Register!$T$37,12)=0),(1+Assumptions!$F$179)*IF(MOD(Assumptions!K$201-Contract_Register!$T$37,Assumptions!$C$90)=0,1+Assumptions!$F$180,1),1))</f>
        <v>1</v>
      </c>
      <c r="L115" s="107" t="n">
        <f aca="false">IF(L$5="A",IF((Inputs_Actuals!L39*Contract_Register!$K$37+Inputs_Actuals!L72*Contract_Register!$L$37)=0,0,Inputs_Actuals!L105/(Inputs_Actuals!L39*Contract_Register!$K$37+Inputs_Actuals!L72*Contract_Register!$L$37)),K115*IF(AND(Assumptions!L$201&gt;Contract_Register!$T$37,MOD(Assumptions!L$201-Contract_Register!$T$37,12)=0),(1+Assumptions!$F$179)*IF(MOD(Assumptions!L$201-Contract_Register!$T$37,Assumptions!$C$90)=0,1+Assumptions!$F$180,1),1))</f>
        <v>1</v>
      </c>
      <c r="M115" s="107" t="n">
        <f aca="false">IF(M$5="A",IF((Inputs_Actuals!M39*Contract_Register!$K$37+Inputs_Actuals!M72*Contract_Register!$L$37)=0,0,Inputs_Actuals!M105/(Inputs_Actuals!M39*Contract_Register!$K$37+Inputs_Actuals!M72*Contract_Register!$L$37)),L115*IF(AND(Assumptions!M$201&gt;Contract_Register!$T$37,MOD(Assumptions!M$201-Contract_Register!$T$37,12)=0),(1+Assumptions!$F$179)*IF(MOD(Assumptions!M$201-Contract_Register!$T$37,Assumptions!$C$90)=0,1+Assumptions!$F$180,1),1))</f>
        <v>1</v>
      </c>
      <c r="N115" s="107" t="n">
        <f aca="false">IF(N$5="A",IF((Inputs_Actuals!N39*Contract_Register!$K$37+Inputs_Actuals!N72*Contract_Register!$L$37)=0,0,Inputs_Actuals!N105/(Inputs_Actuals!N39*Contract_Register!$K$37+Inputs_Actuals!N72*Contract_Register!$L$37)),M115*IF(AND(Assumptions!N$201&gt;Contract_Register!$T$37,MOD(Assumptions!N$201-Contract_Register!$T$37,12)=0),(1+Assumptions!$F$179)*IF(MOD(Assumptions!N$201-Contract_Register!$T$37,Assumptions!$C$90)=0,1+Assumptions!$F$180,1),1))</f>
        <v>1</v>
      </c>
      <c r="O115" s="107" t="n">
        <f aca="false">IF(O$5="A",IF((Inputs_Actuals!O39*Contract_Register!$K$37+Inputs_Actuals!O72*Contract_Register!$L$37)=0,0,Inputs_Actuals!O105/(Inputs_Actuals!O39*Contract_Register!$K$37+Inputs_Actuals!O72*Contract_Register!$L$37)),N115*IF(AND(Assumptions!O$201&gt;Contract_Register!$T$37,MOD(Assumptions!O$201-Contract_Register!$T$37,12)=0),(1+Assumptions!$F$179)*IF(MOD(Assumptions!O$201-Contract_Register!$T$37,Assumptions!$C$90)=0,1+Assumptions!$F$180,1),1))</f>
        <v>1</v>
      </c>
      <c r="P115" s="107" t="n">
        <f aca="false">IF(P$5="A",IF((Inputs_Actuals!P39*Contract_Register!$K$37+Inputs_Actuals!P72*Contract_Register!$L$37)=0,0,Inputs_Actuals!P105/(Inputs_Actuals!P39*Contract_Register!$K$37+Inputs_Actuals!P72*Contract_Register!$L$37)),O115*IF(AND(Assumptions!P$201&gt;Contract_Register!$T$37,MOD(Assumptions!P$201-Contract_Register!$T$37,12)=0),(1+Assumptions!$F$179)*IF(MOD(Assumptions!P$201-Contract_Register!$T$37,Assumptions!$C$90)=0,1+Assumptions!$F$180,1),1))</f>
        <v>1</v>
      </c>
      <c r="Q115" s="107" t="n">
        <f aca="false">IF(Q$5="A",IF((Inputs_Actuals!Q39*Contract_Register!$K$37+Inputs_Actuals!Q72*Contract_Register!$L$37)=0,0,Inputs_Actuals!Q105/(Inputs_Actuals!Q39*Contract_Register!$K$37+Inputs_Actuals!Q72*Contract_Register!$L$37)),P115*IF(AND(Assumptions!Q$201&gt;Contract_Register!$T$37,MOD(Assumptions!Q$201-Contract_Register!$T$37,12)=0),(1+Assumptions!$F$179)*IF(MOD(Assumptions!Q$201-Contract_Register!$T$37,Assumptions!$C$90)=0,1+Assumptions!$F$180,1),1))</f>
        <v>1</v>
      </c>
      <c r="R115" s="107" t="n">
        <f aca="false">IF(R$5="A",IF((Inputs_Actuals!R39*Contract_Register!$K$37+Inputs_Actuals!R72*Contract_Register!$L$37)=0,0,Inputs_Actuals!R105/(Inputs_Actuals!R39*Contract_Register!$K$37+Inputs_Actuals!R72*Contract_Register!$L$37)),Q115*IF(AND(Assumptions!R$201&gt;Contract_Register!$T$37,MOD(Assumptions!R$201-Contract_Register!$T$37,12)=0),(1+Assumptions!$F$179)*IF(MOD(Assumptions!R$201-Contract_Register!$T$37,Assumptions!$C$90)=0,1+Assumptions!$F$180,1),1))</f>
        <v>1</v>
      </c>
      <c r="S115" s="107" t="n">
        <f aca="false">IF(S$5="A",IF((Inputs_Actuals!S39*Contract_Register!$K$37+Inputs_Actuals!S72*Contract_Register!$L$37)=0,0,Inputs_Actuals!S105/(Inputs_Actuals!S39*Contract_Register!$K$37+Inputs_Actuals!S72*Contract_Register!$L$37)),R115*IF(AND(Assumptions!S$201&gt;Contract_Register!$T$37,MOD(Assumptions!S$201-Contract_Register!$T$37,12)=0),(1+Assumptions!$F$179)*IF(MOD(Assumptions!S$201-Contract_Register!$T$37,Assumptions!$C$90)=0,1+Assumptions!$F$180,1),1))</f>
        <v>1.03</v>
      </c>
      <c r="T115" s="107" t="n">
        <f aca="false">IF(T$5="A",IF((Inputs_Actuals!T39*Contract_Register!$K$37+Inputs_Actuals!T72*Contract_Register!$L$37)=0,0,Inputs_Actuals!T105/(Inputs_Actuals!T39*Contract_Register!$K$37+Inputs_Actuals!T72*Contract_Register!$L$37)),S115*IF(AND(Assumptions!T$201&gt;Contract_Register!$T$37,MOD(Assumptions!T$201-Contract_Register!$T$37,12)=0),(1+Assumptions!$F$179)*IF(MOD(Assumptions!T$201-Contract_Register!$T$37,Assumptions!$C$90)=0,1+Assumptions!$F$180,1),1))</f>
        <v>1.03</v>
      </c>
      <c r="U115" s="107" t="n">
        <f aca="false">IF(U$5="A",IF((Inputs_Actuals!U39*Contract_Register!$K$37+Inputs_Actuals!U72*Contract_Register!$L$37)=0,0,Inputs_Actuals!U105/(Inputs_Actuals!U39*Contract_Register!$K$37+Inputs_Actuals!U72*Contract_Register!$L$37)),T115*IF(AND(Assumptions!U$201&gt;Contract_Register!$T$37,MOD(Assumptions!U$201-Contract_Register!$T$37,12)=0),(1+Assumptions!$F$179)*IF(MOD(Assumptions!U$201-Contract_Register!$T$37,Assumptions!$C$90)=0,1+Assumptions!$F$180,1),1))</f>
        <v>1.03</v>
      </c>
      <c r="V115" s="107" t="n">
        <f aca="false">IF(V$5="A",IF((Inputs_Actuals!V39*Contract_Register!$K$37+Inputs_Actuals!V72*Contract_Register!$L$37)=0,0,Inputs_Actuals!V105/(Inputs_Actuals!V39*Contract_Register!$K$37+Inputs_Actuals!V72*Contract_Register!$L$37)),U115*IF(AND(Assumptions!V$201&gt;Contract_Register!$T$37,MOD(Assumptions!V$201-Contract_Register!$T$37,12)=0),(1+Assumptions!$F$179)*IF(MOD(Assumptions!V$201-Contract_Register!$T$37,Assumptions!$C$90)=0,1+Assumptions!$F$180,1),1))</f>
        <v>1.03</v>
      </c>
      <c r="W115" s="107" t="n">
        <f aca="false">IF(W$5="A",IF((Inputs_Actuals!W39*Contract_Register!$K$37+Inputs_Actuals!W72*Contract_Register!$L$37)=0,0,Inputs_Actuals!W105/(Inputs_Actuals!W39*Contract_Register!$K$37+Inputs_Actuals!W72*Contract_Register!$L$37)),V115*IF(AND(Assumptions!W$201&gt;Contract_Register!$T$37,MOD(Assumptions!W$201-Contract_Register!$T$37,12)=0),(1+Assumptions!$F$179)*IF(MOD(Assumptions!W$201-Contract_Register!$T$37,Assumptions!$C$90)=0,1+Assumptions!$F$180,1),1))</f>
        <v>1.03</v>
      </c>
      <c r="X115" s="107" t="n">
        <f aca="false">IF(X$5="A",IF((Inputs_Actuals!X39*Contract_Register!$K$37+Inputs_Actuals!X72*Contract_Register!$L$37)=0,0,Inputs_Actuals!X105/(Inputs_Actuals!X39*Contract_Register!$K$37+Inputs_Actuals!X72*Contract_Register!$L$37)),W115*IF(AND(Assumptions!X$201&gt;Contract_Register!$T$37,MOD(Assumptions!X$201-Contract_Register!$T$37,12)=0),(1+Assumptions!$F$179)*IF(MOD(Assumptions!X$201-Contract_Register!$T$37,Assumptions!$C$90)=0,1+Assumptions!$F$180,1),1))</f>
        <v>1.03</v>
      </c>
      <c r="Y115" s="107" t="n">
        <f aca="false">IF(Y$5="A",IF((Inputs_Actuals!Y39*Contract_Register!$K$37+Inputs_Actuals!Y72*Contract_Register!$L$37)=0,0,Inputs_Actuals!Y105/(Inputs_Actuals!Y39*Contract_Register!$K$37+Inputs_Actuals!Y72*Contract_Register!$L$37)),X115*IF(AND(Assumptions!Y$201&gt;Contract_Register!$T$37,MOD(Assumptions!Y$201-Contract_Register!$T$37,12)=0),(1+Assumptions!$F$179)*IF(MOD(Assumptions!Y$201-Contract_Register!$T$37,Assumptions!$C$90)=0,1+Assumptions!$F$180,1),1))</f>
        <v>1.03</v>
      </c>
      <c r="Z115" s="107" t="n">
        <f aca="false">IF(Z$5="A",IF((Inputs_Actuals!Z39*Contract_Register!$K$37+Inputs_Actuals!Z72*Contract_Register!$L$37)=0,0,Inputs_Actuals!Z105/(Inputs_Actuals!Z39*Contract_Register!$K$37+Inputs_Actuals!Z72*Contract_Register!$L$37)),Y115*IF(AND(Assumptions!Z$201&gt;Contract_Register!$T$37,MOD(Assumptions!Z$201-Contract_Register!$T$37,12)=0),(1+Assumptions!$F$179)*IF(MOD(Assumptions!Z$201-Contract_Register!$T$37,Assumptions!$C$90)=0,1+Assumptions!$F$180,1),1))</f>
        <v>1.03</v>
      </c>
      <c r="AA115" s="107" t="n">
        <f aca="false">IF(AA$5="A",IF((Inputs_Actuals!AA39*Contract_Register!$K$37+Inputs_Actuals!AA72*Contract_Register!$L$37)=0,0,Inputs_Actuals!AA105/(Inputs_Actuals!AA39*Contract_Register!$K$37+Inputs_Actuals!AA72*Contract_Register!$L$37)),Z115*IF(AND(Assumptions!AA$201&gt;Contract_Register!$T$37,MOD(Assumptions!AA$201-Contract_Register!$T$37,12)=0),(1+Assumptions!$F$179)*IF(MOD(Assumptions!AA$201-Contract_Register!$T$37,Assumptions!$C$90)=0,1+Assumptions!$F$180,1),1))</f>
        <v>1.03</v>
      </c>
      <c r="AB115" s="107" t="n">
        <f aca="false">IF(AB$5="A",IF((Inputs_Actuals!AB39*Contract_Register!$K$37+Inputs_Actuals!AB72*Contract_Register!$L$37)=0,0,Inputs_Actuals!AB105/(Inputs_Actuals!AB39*Contract_Register!$K$37+Inputs_Actuals!AB72*Contract_Register!$L$37)),AA115*IF(AND(Assumptions!AB$201&gt;Contract_Register!$T$37,MOD(Assumptions!AB$201-Contract_Register!$T$37,12)=0),(1+Assumptions!$F$179)*IF(MOD(Assumptions!AB$201-Contract_Register!$T$37,Assumptions!$C$90)=0,1+Assumptions!$F$180,1),1))</f>
        <v>1.03</v>
      </c>
    </row>
    <row r="116" customFormat="false" ht="15" hidden="false" customHeight="false" outlineLevel="0" collapsed="false">
      <c r="A116" s="27" t="s">
        <v>844</v>
      </c>
      <c r="B116" s="63" t="s">
        <v>851</v>
      </c>
      <c r="C116" s="121" t="n">
        <f aca="false">P116</f>
        <v>1</v>
      </c>
      <c r="D116" s="121" t="n">
        <f aca="false">AB116</f>
        <v>1.03</v>
      </c>
      <c r="E116" s="107" t="n">
        <f aca="false">IF(E$5="A",IF((Inputs_Actuals!E40*Contract_Register!$K$38+Inputs_Actuals!E73*Contract_Register!$L$38)=0,0,Inputs_Actuals!E106/(Inputs_Actuals!E40*Contract_Register!$K$38+Inputs_Actuals!E73*Contract_Register!$L$38)),0*IF(AND(Assumptions!E$201&gt;Contract_Register!$T$38,MOD(Assumptions!E$201-Contract_Register!$T$38,12)=0),(1+Assumptions!$F$179)*IF(MOD(Assumptions!E$201-Contract_Register!$T$38,Assumptions!$C$90)=0,1+Assumptions!$F$180,1),1))</f>
        <v>0</v>
      </c>
      <c r="F116" s="107" t="n">
        <f aca="false">IF(F$5="A",IF((Inputs_Actuals!F40*Contract_Register!$K$38+Inputs_Actuals!F73*Contract_Register!$L$38)=0,0,Inputs_Actuals!F106/(Inputs_Actuals!F40*Contract_Register!$K$38+Inputs_Actuals!F73*Contract_Register!$L$38)),E116*IF(AND(Assumptions!F$201&gt;Contract_Register!$T$38,MOD(Assumptions!F$201-Contract_Register!$T$38,12)=0),(1+Assumptions!$F$179)*IF(MOD(Assumptions!F$201-Contract_Register!$T$38,Assumptions!$C$90)=0,1+Assumptions!$F$180,1),1))</f>
        <v>0</v>
      </c>
      <c r="G116" s="107" t="n">
        <f aca="false">IF(G$5="A",IF((Inputs_Actuals!G40*Contract_Register!$K$38+Inputs_Actuals!G73*Contract_Register!$L$38)=0,0,Inputs_Actuals!G106/(Inputs_Actuals!G40*Contract_Register!$K$38+Inputs_Actuals!G73*Contract_Register!$L$38)),F116*IF(AND(Assumptions!G$201&gt;Contract_Register!$T$38,MOD(Assumptions!G$201-Contract_Register!$T$38,12)=0),(1+Assumptions!$F$179)*IF(MOD(Assumptions!G$201-Contract_Register!$T$38,Assumptions!$C$90)=0,1+Assumptions!$F$180,1),1))</f>
        <v>0</v>
      </c>
      <c r="H116" s="107" t="n">
        <f aca="false">IF(H$5="A",IF((Inputs_Actuals!H40*Contract_Register!$K$38+Inputs_Actuals!H73*Contract_Register!$L$38)=0,0,Inputs_Actuals!H106/(Inputs_Actuals!H40*Contract_Register!$K$38+Inputs_Actuals!H73*Contract_Register!$L$38)),G116*IF(AND(Assumptions!H$201&gt;Contract_Register!$T$38,MOD(Assumptions!H$201-Contract_Register!$T$38,12)=0),(1+Assumptions!$F$179)*IF(MOD(Assumptions!H$201-Contract_Register!$T$38,Assumptions!$C$90)=0,1+Assumptions!$F$180,1),1))</f>
        <v>0</v>
      </c>
      <c r="I116" s="107" t="n">
        <f aca="false">IF(I$5="A",IF((Inputs_Actuals!I40*Contract_Register!$K$38+Inputs_Actuals!I73*Contract_Register!$L$38)=0,0,Inputs_Actuals!I106/(Inputs_Actuals!I40*Contract_Register!$K$38+Inputs_Actuals!I73*Contract_Register!$L$38)),H116*IF(AND(Assumptions!I$201&gt;Contract_Register!$T$38,MOD(Assumptions!I$201-Contract_Register!$T$38,12)=0),(1+Assumptions!$F$179)*IF(MOD(Assumptions!I$201-Contract_Register!$T$38,Assumptions!$C$90)=0,1+Assumptions!$F$180,1),1))</f>
        <v>1</v>
      </c>
      <c r="J116" s="107" t="n">
        <f aca="false">IF(J$5="A",IF((Inputs_Actuals!J40*Contract_Register!$K$38+Inputs_Actuals!J73*Contract_Register!$L$38)=0,0,Inputs_Actuals!J106/(Inputs_Actuals!J40*Contract_Register!$K$38+Inputs_Actuals!J73*Contract_Register!$L$38)),I116*IF(AND(Assumptions!J$201&gt;Contract_Register!$T$38,MOD(Assumptions!J$201-Contract_Register!$T$38,12)=0),(1+Assumptions!$F$179)*IF(MOD(Assumptions!J$201-Contract_Register!$T$38,Assumptions!$C$90)=0,1+Assumptions!$F$180,1),1))</f>
        <v>1</v>
      </c>
      <c r="K116" s="107" t="n">
        <f aca="false">IF(K$5="A",IF((Inputs_Actuals!K40*Contract_Register!$K$38+Inputs_Actuals!K73*Contract_Register!$L$38)=0,0,Inputs_Actuals!K106/(Inputs_Actuals!K40*Contract_Register!$K$38+Inputs_Actuals!K73*Contract_Register!$L$38)),J116*IF(AND(Assumptions!K$201&gt;Contract_Register!$T$38,MOD(Assumptions!K$201-Contract_Register!$T$38,12)=0),(1+Assumptions!$F$179)*IF(MOD(Assumptions!K$201-Contract_Register!$T$38,Assumptions!$C$90)=0,1+Assumptions!$F$180,1),1))</f>
        <v>1</v>
      </c>
      <c r="L116" s="107" t="n">
        <f aca="false">IF(L$5="A",IF((Inputs_Actuals!L40*Contract_Register!$K$38+Inputs_Actuals!L73*Contract_Register!$L$38)=0,0,Inputs_Actuals!L106/(Inputs_Actuals!L40*Contract_Register!$K$38+Inputs_Actuals!L73*Contract_Register!$L$38)),K116*IF(AND(Assumptions!L$201&gt;Contract_Register!$T$38,MOD(Assumptions!L$201-Contract_Register!$T$38,12)=0),(1+Assumptions!$F$179)*IF(MOD(Assumptions!L$201-Contract_Register!$T$38,Assumptions!$C$90)=0,1+Assumptions!$F$180,1),1))</f>
        <v>1</v>
      </c>
      <c r="M116" s="107" t="n">
        <f aca="false">IF(M$5="A",IF((Inputs_Actuals!M40*Contract_Register!$K$38+Inputs_Actuals!M73*Contract_Register!$L$38)=0,0,Inputs_Actuals!M106/(Inputs_Actuals!M40*Contract_Register!$K$38+Inputs_Actuals!M73*Contract_Register!$L$38)),L116*IF(AND(Assumptions!M$201&gt;Contract_Register!$T$38,MOD(Assumptions!M$201-Contract_Register!$T$38,12)=0),(1+Assumptions!$F$179)*IF(MOD(Assumptions!M$201-Contract_Register!$T$38,Assumptions!$C$90)=0,1+Assumptions!$F$180,1),1))</f>
        <v>1</v>
      </c>
      <c r="N116" s="107" t="n">
        <f aca="false">IF(N$5="A",IF((Inputs_Actuals!N40*Contract_Register!$K$38+Inputs_Actuals!N73*Contract_Register!$L$38)=0,0,Inputs_Actuals!N106/(Inputs_Actuals!N40*Contract_Register!$K$38+Inputs_Actuals!N73*Contract_Register!$L$38)),M116*IF(AND(Assumptions!N$201&gt;Contract_Register!$T$38,MOD(Assumptions!N$201-Contract_Register!$T$38,12)=0),(1+Assumptions!$F$179)*IF(MOD(Assumptions!N$201-Contract_Register!$T$38,Assumptions!$C$90)=0,1+Assumptions!$F$180,1),1))</f>
        <v>1</v>
      </c>
      <c r="O116" s="107" t="n">
        <f aca="false">IF(O$5="A",IF((Inputs_Actuals!O40*Contract_Register!$K$38+Inputs_Actuals!O73*Contract_Register!$L$38)=0,0,Inputs_Actuals!O106/(Inputs_Actuals!O40*Contract_Register!$K$38+Inputs_Actuals!O73*Contract_Register!$L$38)),N116*IF(AND(Assumptions!O$201&gt;Contract_Register!$T$38,MOD(Assumptions!O$201-Contract_Register!$T$38,12)=0),(1+Assumptions!$F$179)*IF(MOD(Assumptions!O$201-Contract_Register!$T$38,Assumptions!$C$90)=0,1+Assumptions!$F$180,1),1))</f>
        <v>1</v>
      </c>
      <c r="P116" s="107" t="n">
        <f aca="false">IF(P$5="A",IF((Inputs_Actuals!P40*Contract_Register!$K$38+Inputs_Actuals!P73*Contract_Register!$L$38)=0,0,Inputs_Actuals!P106/(Inputs_Actuals!P40*Contract_Register!$K$38+Inputs_Actuals!P73*Contract_Register!$L$38)),O116*IF(AND(Assumptions!P$201&gt;Contract_Register!$T$38,MOD(Assumptions!P$201-Contract_Register!$T$38,12)=0),(1+Assumptions!$F$179)*IF(MOD(Assumptions!P$201-Contract_Register!$T$38,Assumptions!$C$90)=0,1+Assumptions!$F$180,1),1))</f>
        <v>1</v>
      </c>
      <c r="Q116" s="107" t="n">
        <f aca="false">IF(Q$5="A",IF((Inputs_Actuals!Q40*Contract_Register!$K$38+Inputs_Actuals!Q73*Contract_Register!$L$38)=0,0,Inputs_Actuals!Q106/(Inputs_Actuals!Q40*Contract_Register!$K$38+Inputs_Actuals!Q73*Contract_Register!$L$38)),P116*IF(AND(Assumptions!Q$201&gt;Contract_Register!$T$38,MOD(Assumptions!Q$201-Contract_Register!$T$38,12)=0),(1+Assumptions!$F$179)*IF(MOD(Assumptions!Q$201-Contract_Register!$T$38,Assumptions!$C$90)=0,1+Assumptions!$F$180,1),1))</f>
        <v>1</v>
      </c>
      <c r="R116" s="107" t="n">
        <f aca="false">IF(R$5="A",IF((Inputs_Actuals!R40*Contract_Register!$K$38+Inputs_Actuals!R73*Contract_Register!$L$38)=0,0,Inputs_Actuals!R106/(Inputs_Actuals!R40*Contract_Register!$K$38+Inputs_Actuals!R73*Contract_Register!$L$38)),Q116*IF(AND(Assumptions!R$201&gt;Contract_Register!$T$38,MOD(Assumptions!R$201-Contract_Register!$T$38,12)=0),(1+Assumptions!$F$179)*IF(MOD(Assumptions!R$201-Contract_Register!$T$38,Assumptions!$C$90)=0,1+Assumptions!$F$180,1),1))</f>
        <v>1</v>
      </c>
      <c r="S116" s="107" t="n">
        <f aca="false">IF(S$5="A",IF((Inputs_Actuals!S40*Contract_Register!$K$38+Inputs_Actuals!S73*Contract_Register!$L$38)=0,0,Inputs_Actuals!S106/(Inputs_Actuals!S40*Contract_Register!$K$38+Inputs_Actuals!S73*Contract_Register!$L$38)),R116*IF(AND(Assumptions!S$201&gt;Contract_Register!$T$38,MOD(Assumptions!S$201-Contract_Register!$T$38,12)=0),(1+Assumptions!$F$179)*IF(MOD(Assumptions!S$201-Contract_Register!$T$38,Assumptions!$C$90)=0,1+Assumptions!$F$180,1),1))</f>
        <v>1</v>
      </c>
      <c r="T116" s="107" t="n">
        <f aca="false">IF(T$5="A",IF((Inputs_Actuals!T40*Contract_Register!$K$38+Inputs_Actuals!T73*Contract_Register!$L$38)=0,0,Inputs_Actuals!T106/(Inputs_Actuals!T40*Contract_Register!$K$38+Inputs_Actuals!T73*Contract_Register!$L$38)),S116*IF(AND(Assumptions!T$201&gt;Contract_Register!$T$38,MOD(Assumptions!T$201-Contract_Register!$T$38,12)=0),(1+Assumptions!$F$179)*IF(MOD(Assumptions!T$201-Contract_Register!$T$38,Assumptions!$C$90)=0,1+Assumptions!$F$180,1),1))</f>
        <v>1</v>
      </c>
      <c r="U116" s="107" t="n">
        <f aca="false">IF(U$5="A",IF((Inputs_Actuals!U40*Contract_Register!$K$38+Inputs_Actuals!U73*Contract_Register!$L$38)=0,0,Inputs_Actuals!U106/(Inputs_Actuals!U40*Contract_Register!$K$38+Inputs_Actuals!U73*Contract_Register!$L$38)),T116*IF(AND(Assumptions!U$201&gt;Contract_Register!$T$38,MOD(Assumptions!U$201-Contract_Register!$T$38,12)=0),(1+Assumptions!$F$179)*IF(MOD(Assumptions!U$201-Contract_Register!$T$38,Assumptions!$C$90)=0,1+Assumptions!$F$180,1),1))</f>
        <v>1.03</v>
      </c>
      <c r="V116" s="107" t="n">
        <f aca="false">IF(V$5="A",IF((Inputs_Actuals!V40*Contract_Register!$K$38+Inputs_Actuals!V73*Contract_Register!$L$38)=0,0,Inputs_Actuals!V106/(Inputs_Actuals!V40*Contract_Register!$K$38+Inputs_Actuals!V73*Contract_Register!$L$38)),U116*IF(AND(Assumptions!V$201&gt;Contract_Register!$T$38,MOD(Assumptions!V$201-Contract_Register!$T$38,12)=0),(1+Assumptions!$F$179)*IF(MOD(Assumptions!V$201-Contract_Register!$T$38,Assumptions!$C$90)=0,1+Assumptions!$F$180,1),1))</f>
        <v>1.03</v>
      </c>
      <c r="W116" s="107" t="n">
        <f aca="false">IF(W$5="A",IF((Inputs_Actuals!W40*Contract_Register!$K$38+Inputs_Actuals!W73*Contract_Register!$L$38)=0,0,Inputs_Actuals!W106/(Inputs_Actuals!W40*Contract_Register!$K$38+Inputs_Actuals!W73*Contract_Register!$L$38)),V116*IF(AND(Assumptions!W$201&gt;Contract_Register!$T$38,MOD(Assumptions!W$201-Contract_Register!$T$38,12)=0),(1+Assumptions!$F$179)*IF(MOD(Assumptions!W$201-Contract_Register!$T$38,Assumptions!$C$90)=0,1+Assumptions!$F$180,1),1))</f>
        <v>1.03</v>
      </c>
      <c r="X116" s="107" t="n">
        <f aca="false">IF(X$5="A",IF((Inputs_Actuals!X40*Contract_Register!$K$38+Inputs_Actuals!X73*Contract_Register!$L$38)=0,0,Inputs_Actuals!X106/(Inputs_Actuals!X40*Contract_Register!$K$38+Inputs_Actuals!X73*Contract_Register!$L$38)),W116*IF(AND(Assumptions!X$201&gt;Contract_Register!$T$38,MOD(Assumptions!X$201-Contract_Register!$T$38,12)=0),(1+Assumptions!$F$179)*IF(MOD(Assumptions!X$201-Contract_Register!$T$38,Assumptions!$C$90)=0,1+Assumptions!$F$180,1),1))</f>
        <v>1.03</v>
      </c>
      <c r="Y116" s="107" t="n">
        <f aca="false">IF(Y$5="A",IF((Inputs_Actuals!Y40*Contract_Register!$K$38+Inputs_Actuals!Y73*Contract_Register!$L$38)=0,0,Inputs_Actuals!Y106/(Inputs_Actuals!Y40*Contract_Register!$K$38+Inputs_Actuals!Y73*Contract_Register!$L$38)),X116*IF(AND(Assumptions!Y$201&gt;Contract_Register!$T$38,MOD(Assumptions!Y$201-Contract_Register!$T$38,12)=0),(1+Assumptions!$F$179)*IF(MOD(Assumptions!Y$201-Contract_Register!$T$38,Assumptions!$C$90)=0,1+Assumptions!$F$180,1),1))</f>
        <v>1.03</v>
      </c>
      <c r="Z116" s="107" t="n">
        <f aca="false">IF(Z$5="A",IF((Inputs_Actuals!Z40*Contract_Register!$K$38+Inputs_Actuals!Z73*Contract_Register!$L$38)=0,0,Inputs_Actuals!Z106/(Inputs_Actuals!Z40*Contract_Register!$K$38+Inputs_Actuals!Z73*Contract_Register!$L$38)),Y116*IF(AND(Assumptions!Z$201&gt;Contract_Register!$T$38,MOD(Assumptions!Z$201-Contract_Register!$T$38,12)=0),(1+Assumptions!$F$179)*IF(MOD(Assumptions!Z$201-Contract_Register!$T$38,Assumptions!$C$90)=0,1+Assumptions!$F$180,1),1))</f>
        <v>1.03</v>
      </c>
      <c r="AA116" s="107" t="n">
        <f aca="false">IF(AA$5="A",IF((Inputs_Actuals!AA40*Contract_Register!$K$38+Inputs_Actuals!AA73*Contract_Register!$L$38)=0,0,Inputs_Actuals!AA106/(Inputs_Actuals!AA40*Contract_Register!$K$38+Inputs_Actuals!AA73*Contract_Register!$L$38)),Z116*IF(AND(Assumptions!AA$201&gt;Contract_Register!$T$38,MOD(Assumptions!AA$201-Contract_Register!$T$38,12)=0),(1+Assumptions!$F$179)*IF(MOD(Assumptions!AA$201-Contract_Register!$T$38,Assumptions!$C$90)=0,1+Assumptions!$F$180,1),1))</f>
        <v>1.03</v>
      </c>
      <c r="AB116" s="107" t="n">
        <f aca="false">IF(AB$5="A",IF((Inputs_Actuals!AB40*Contract_Register!$K$38+Inputs_Actuals!AB73*Contract_Register!$L$38)=0,0,Inputs_Actuals!AB106/(Inputs_Actuals!AB40*Contract_Register!$K$38+Inputs_Actuals!AB73*Contract_Register!$L$38)),AA116*IF(AND(Assumptions!AB$201&gt;Contract_Register!$T$38,MOD(Assumptions!AB$201-Contract_Register!$T$38,12)=0),(1+Assumptions!$F$179)*IF(MOD(Assumptions!AB$201-Contract_Register!$T$38,Assumptions!$C$90)=0,1+Assumptions!$F$180,1),1))</f>
        <v>1.03</v>
      </c>
    </row>
    <row r="117" customFormat="false" ht="15" hidden="false" customHeight="false" outlineLevel="0" collapsed="false">
      <c r="A117" s="27" t="s">
        <v>845</v>
      </c>
      <c r="B117" s="63" t="s">
        <v>851</v>
      </c>
      <c r="C117" s="121" t="n">
        <f aca="false">P117</f>
        <v>1</v>
      </c>
      <c r="D117" s="121" t="n">
        <f aca="false">AB117</f>
        <v>1.03</v>
      </c>
      <c r="E117" s="107" t="n">
        <f aca="false">IF(E$5="A",IF((Inputs_Actuals!E41*Contract_Register!$K$39+Inputs_Actuals!E74*Contract_Register!$L$39)=0,0,Inputs_Actuals!E107/(Inputs_Actuals!E41*Contract_Register!$K$39+Inputs_Actuals!E74*Contract_Register!$L$39)),0*IF(AND(Assumptions!E$201&gt;Contract_Register!$T$39,MOD(Assumptions!E$201-Contract_Register!$T$39,12)=0),(1+Assumptions!$F$179)*IF(MOD(Assumptions!E$201-Contract_Register!$T$39,Assumptions!$C$90)=0,1+Assumptions!$F$180,1),1))</f>
        <v>0</v>
      </c>
      <c r="F117" s="107" t="n">
        <f aca="false">IF(F$5="A",IF((Inputs_Actuals!F41*Contract_Register!$K$39+Inputs_Actuals!F74*Contract_Register!$L$39)=0,0,Inputs_Actuals!F107/(Inputs_Actuals!F41*Contract_Register!$K$39+Inputs_Actuals!F74*Contract_Register!$L$39)),E117*IF(AND(Assumptions!F$201&gt;Contract_Register!$T$39,MOD(Assumptions!F$201-Contract_Register!$T$39,12)=0),(1+Assumptions!$F$179)*IF(MOD(Assumptions!F$201-Contract_Register!$T$39,Assumptions!$C$90)=0,1+Assumptions!$F$180,1),1))</f>
        <v>0</v>
      </c>
      <c r="G117" s="107" t="n">
        <f aca="false">IF(G$5="A",IF((Inputs_Actuals!G41*Contract_Register!$K$39+Inputs_Actuals!G74*Contract_Register!$L$39)=0,0,Inputs_Actuals!G107/(Inputs_Actuals!G41*Contract_Register!$K$39+Inputs_Actuals!G74*Contract_Register!$L$39)),F117*IF(AND(Assumptions!G$201&gt;Contract_Register!$T$39,MOD(Assumptions!G$201-Contract_Register!$T$39,12)=0),(1+Assumptions!$F$179)*IF(MOD(Assumptions!G$201-Contract_Register!$T$39,Assumptions!$C$90)=0,1+Assumptions!$F$180,1),1))</f>
        <v>0</v>
      </c>
      <c r="H117" s="107" t="n">
        <f aca="false">IF(H$5="A",IF((Inputs_Actuals!H41*Contract_Register!$K$39+Inputs_Actuals!H74*Contract_Register!$L$39)=0,0,Inputs_Actuals!H107/(Inputs_Actuals!H41*Contract_Register!$K$39+Inputs_Actuals!H74*Contract_Register!$L$39)),G117*IF(AND(Assumptions!H$201&gt;Contract_Register!$T$39,MOD(Assumptions!H$201-Contract_Register!$T$39,12)=0),(1+Assumptions!$F$179)*IF(MOD(Assumptions!H$201-Contract_Register!$T$39,Assumptions!$C$90)=0,1+Assumptions!$F$180,1),1))</f>
        <v>0</v>
      </c>
      <c r="I117" s="107" t="n">
        <f aca="false">IF(I$5="A",IF((Inputs_Actuals!I41*Contract_Register!$K$39+Inputs_Actuals!I74*Contract_Register!$L$39)=0,0,Inputs_Actuals!I107/(Inputs_Actuals!I41*Contract_Register!$K$39+Inputs_Actuals!I74*Contract_Register!$L$39)),H117*IF(AND(Assumptions!I$201&gt;Contract_Register!$T$39,MOD(Assumptions!I$201-Contract_Register!$T$39,12)=0),(1+Assumptions!$F$179)*IF(MOD(Assumptions!I$201-Contract_Register!$T$39,Assumptions!$C$90)=0,1+Assumptions!$F$180,1),1))</f>
        <v>0</v>
      </c>
      <c r="J117" s="107" t="n">
        <f aca="false">IF(J$5="A",IF((Inputs_Actuals!J41*Contract_Register!$K$39+Inputs_Actuals!J74*Contract_Register!$L$39)=0,0,Inputs_Actuals!J107/(Inputs_Actuals!J41*Contract_Register!$K$39+Inputs_Actuals!J74*Contract_Register!$L$39)),I117*IF(AND(Assumptions!J$201&gt;Contract_Register!$T$39,MOD(Assumptions!J$201-Contract_Register!$T$39,12)=0),(1+Assumptions!$F$179)*IF(MOD(Assumptions!J$201-Contract_Register!$T$39,Assumptions!$C$90)=0,1+Assumptions!$F$180,1),1))</f>
        <v>0</v>
      </c>
      <c r="K117" s="107" t="n">
        <f aca="false">IF(K$5="A",IF((Inputs_Actuals!K41*Contract_Register!$K$39+Inputs_Actuals!K74*Contract_Register!$L$39)=0,0,Inputs_Actuals!K107/(Inputs_Actuals!K41*Contract_Register!$K$39+Inputs_Actuals!K74*Contract_Register!$L$39)),J117*IF(AND(Assumptions!K$201&gt;Contract_Register!$T$39,MOD(Assumptions!K$201-Contract_Register!$T$39,12)=0),(1+Assumptions!$F$179)*IF(MOD(Assumptions!K$201-Contract_Register!$T$39,Assumptions!$C$90)=0,1+Assumptions!$F$180,1),1))</f>
        <v>1</v>
      </c>
      <c r="L117" s="107" t="n">
        <f aca="false">IF(L$5="A",IF((Inputs_Actuals!L41*Contract_Register!$K$39+Inputs_Actuals!L74*Contract_Register!$L$39)=0,0,Inputs_Actuals!L107/(Inputs_Actuals!L41*Contract_Register!$K$39+Inputs_Actuals!L74*Contract_Register!$L$39)),K117*IF(AND(Assumptions!L$201&gt;Contract_Register!$T$39,MOD(Assumptions!L$201-Contract_Register!$T$39,12)=0),(1+Assumptions!$F$179)*IF(MOD(Assumptions!L$201-Contract_Register!$T$39,Assumptions!$C$90)=0,1+Assumptions!$F$180,1),1))</f>
        <v>1</v>
      </c>
      <c r="M117" s="107" t="n">
        <f aca="false">IF(M$5="A",IF((Inputs_Actuals!M41*Contract_Register!$K$39+Inputs_Actuals!M74*Contract_Register!$L$39)=0,0,Inputs_Actuals!M107/(Inputs_Actuals!M41*Contract_Register!$K$39+Inputs_Actuals!M74*Contract_Register!$L$39)),L117*IF(AND(Assumptions!M$201&gt;Contract_Register!$T$39,MOD(Assumptions!M$201-Contract_Register!$T$39,12)=0),(1+Assumptions!$F$179)*IF(MOD(Assumptions!M$201-Contract_Register!$T$39,Assumptions!$C$90)=0,1+Assumptions!$F$180,1),1))</f>
        <v>1</v>
      </c>
      <c r="N117" s="107" t="n">
        <f aca="false">IF(N$5="A",IF((Inputs_Actuals!N41*Contract_Register!$K$39+Inputs_Actuals!N74*Contract_Register!$L$39)=0,0,Inputs_Actuals!N107/(Inputs_Actuals!N41*Contract_Register!$K$39+Inputs_Actuals!N74*Contract_Register!$L$39)),M117*IF(AND(Assumptions!N$201&gt;Contract_Register!$T$39,MOD(Assumptions!N$201-Contract_Register!$T$39,12)=0),(1+Assumptions!$F$179)*IF(MOD(Assumptions!N$201-Contract_Register!$T$39,Assumptions!$C$90)=0,1+Assumptions!$F$180,1),1))</f>
        <v>1</v>
      </c>
      <c r="O117" s="107" t="n">
        <f aca="false">IF(O$5="A",IF((Inputs_Actuals!O41*Contract_Register!$K$39+Inputs_Actuals!O74*Contract_Register!$L$39)=0,0,Inputs_Actuals!O107/(Inputs_Actuals!O41*Contract_Register!$K$39+Inputs_Actuals!O74*Contract_Register!$L$39)),N117*IF(AND(Assumptions!O$201&gt;Contract_Register!$T$39,MOD(Assumptions!O$201-Contract_Register!$T$39,12)=0),(1+Assumptions!$F$179)*IF(MOD(Assumptions!O$201-Contract_Register!$T$39,Assumptions!$C$90)=0,1+Assumptions!$F$180,1),1))</f>
        <v>1</v>
      </c>
      <c r="P117" s="107" t="n">
        <f aca="false">IF(P$5="A",IF((Inputs_Actuals!P41*Contract_Register!$K$39+Inputs_Actuals!P74*Contract_Register!$L$39)=0,0,Inputs_Actuals!P107/(Inputs_Actuals!P41*Contract_Register!$K$39+Inputs_Actuals!P74*Contract_Register!$L$39)),O117*IF(AND(Assumptions!P$201&gt;Contract_Register!$T$39,MOD(Assumptions!P$201-Contract_Register!$T$39,12)=0),(1+Assumptions!$F$179)*IF(MOD(Assumptions!P$201-Contract_Register!$T$39,Assumptions!$C$90)=0,1+Assumptions!$F$180,1),1))</f>
        <v>1</v>
      </c>
      <c r="Q117" s="107" t="n">
        <f aca="false">IF(Q$5="A",IF((Inputs_Actuals!Q41*Contract_Register!$K$39+Inputs_Actuals!Q74*Contract_Register!$L$39)=0,0,Inputs_Actuals!Q107/(Inputs_Actuals!Q41*Contract_Register!$K$39+Inputs_Actuals!Q74*Contract_Register!$L$39)),P117*IF(AND(Assumptions!Q$201&gt;Contract_Register!$T$39,MOD(Assumptions!Q$201-Contract_Register!$T$39,12)=0),(1+Assumptions!$F$179)*IF(MOD(Assumptions!Q$201-Contract_Register!$T$39,Assumptions!$C$90)=0,1+Assumptions!$F$180,1),1))</f>
        <v>1</v>
      </c>
      <c r="R117" s="107" t="n">
        <f aca="false">IF(R$5="A",IF((Inputs_Actuals!R41*Contract_Register!$K$39+Inputs_Actuals!R74*Contract_Register!$L$39)=0,0,Inputs_Actuals!R107/(Inputs_Actuals!R41*Contract_Register!$K$39+Inputs_Actuals!R74*Contract_Register!$L$39)),Q117*IF(AND(Assumptions!R$201&gt;Contract_Register!$T$39,MOD(Assumptions!R$201-Contract_Register!$T$39,12)=0),(1+Assumptions!$F$179)*IF(MOD(Assumptions!R$201-Contract_Register!$T$39,Assumptions!$C$90)=0,1+Assumptions!$F$180,1),1))</f>
        <v>1</v>
      </c>
      <c r="S117" s="107" t="n">
        <f aca="false">IF(S$5="A",IF((Inputs_Actuals!S41*Contract_Register!$K$39+Inputs_Actuals!S74*Contract_Register!$L$39)=0,0,Inputs_Actuals!S107/(Inputs_Actuals!S41*Contract_Register!$K$39+Inputs_Actuals!S74*Contract_Register!$L$39)),R117*IF(AND(Assumptions!S$201&gt;Contract_Register!$T$39,MOD(Assumptions!S$201-Contract_Register!$T$39,12)=0),(1+Assumptions!$F$179)*IF(MOD(Assumptions!S$201-Contract_Register!$T$39,Assumptions!$C$90)=0,1+Assumptions!$F$180,1),1))</f>
        <v>1</v>
      </c>
      <c r="T117" s="107" t="n">
        <f aca="false">IF(T$5="A",IF((Inputs_Actuals!T41*Contract_Register!$K$39+Inputs_Actuals!T74*Contract_Register!$L$39)=0,0,Inputs_Actuals!T107/(Inputs_Actuals!T41*Contract_Register!$K$39+Inputs_Actuals!T74*Contract_Register!$L$39)),S117*IF(AND(Assumptions!T$201&gt;Contract_Register!$T$39,MOD(Assumptions!T$201-Contract_Register!$T$39,12)=0),(1+Assumptions!$F$179)*IF(MOD(Assumptions!T$201-Contract_Register!$T$39,Assumptions!$C$90)=0,1+Assumptions!$F$180,1),1))</f>
        <v>1</v>
      </c>
      <c r="U117" s="107" t="n">
        <f aca="false">IF(U$5="A",IF((Inputs_Actuals!U41*Contract_Register!$K$39+Inputs_Actuals!U74*Contract_Register!$L$39)=0,0,Inputs_Actuals!U107/(Inputs_Actuals!U41*Contract_Register!$K$39+Inputs_Actuals!U74*Contract_Register!$L$39)),T117*IF(AND(Assumptions!U$201&gt;Contract_Register!$T$39,MOD(Assumptions!U$201-Contract_Register!$T$39,12)=0),(1+Assumptions!$F$179)*IF(MOD(Assumptions!U$201-Contract_Register!$T$39,Assumptions!$C$90)=0,1+Assumptions!$F$180,1),1))</f>
        <v>1</v>
      </c>
      <c r="V117" s="107" t="n">
        <f aca="false">IF(V$5="A",IF((Inputs_Actuals!V41*Contract_Register!$K$39+Inputs_Actuals!V74*Contract_Register!$L$39)=0,0,Inputs_Actuals!V107/(Inputs_Actuals!V41*Contract_Register!$K$39+Inputs_Actuals!V74*Contract_Register!$L$39)),U117*IF(AND(Assumptions!V$201&gt;Contract_Register!$T$39,MOD(Assumptions!V$201-Contract_Register!$T$39,12)=0),(1+Assumptions!$F$179)*IF(MOD(Assumptions!V$201-Contract_Register!$T$39,Assumptions!$C$90)=0,1+Assumptions!$F$180,1),1))</f>
        <v>1</v>
      </c>
      <c r="W117" s="107" t="n">
        <f aca="false">IF(W$5="A",IF((Inputs_Actuals!W41*Contract_Register!$K$39+Inputs_Actuals!W74*Contract_Register!$L$39)=0,0,Inputs_Actuals!W107/(Inputs_Actuals!W41*Contract_Register!$K$39+Inputs_Actuals!W74*Contract_Register!$L$39)),V117*IF(AND(Assumptions!W$201&gt;Contract_Register!$T$39,MOD(Assumptions!W$201-Contract_Register!$T$39,12)=0),(1+Assumptions!$F$179)*IF(MOD(Assumptions!W$201-Contract_Register!$T$39,Assumptions!$C$90)=0,1+Assumptions!$F$180,1),1))</f>
        <v>1.03</v>
      </c>
      <c r="X117" s="107" t="n">
        <f aca="false">IF(X$5="A",IF((Inputs_Actuals!X41*Contract_Register!$K$39+Inputs_Actuals!X74*Contract_Register!$L$39)=0,0,Inputs_Actuals!X107/(Inputs_Actuals!X41*Contract_Register!$K$39+Inputs_Actuals!X74*Contract_Register!$L$39)),W117*IF(AND(Assumptions!X$201&gt;Contract_Register!$T$39,MOD(Assumptions!X$201-Contract_Register!$T$39,12)=0),(1+Assumptions!$F$179)*IF(MOD(Assumptions!X$201-Contract_Register!$T$39,Assumptions!$C$90)=0,1+Assumptions!$F$180,1),1))</f>
        <v>1.03</v>
      </c>
      <c r="Y117" s="107" t="n">
        <f aca="false">IF(Y$5="A",IF((Inputs_Actuals!Y41*Contract_Register!$K$39+Inputs_Actuals!Y74*Contract_Register!$L$39)=0,0,Inputs_Actuals!Y107/(Inputs_Actuals!Y41*Contract_Register!$K$39+Inputs_Actuals!Y74*Contract_Register!$L$39)),X117*IF(AND(Assumptions!Y$201&gt;Contract_Register!$T$39,MOD(Assumptions!Y$201-Contract_Register!$T$39,12)=0),(1+Assumptions!$F$179)*IF(MOD(Assumptions!Y$201-Contract_Register!$T$39,Assumptions!$C$90)=0,1+Assumptions!$F$180,1),1))</f>
        <v>1.03</v>
      </c>
      <c r="Z117" s="107" t="n">
        <f aca="false">IF(Z$5="A",IF((Inputs_Actuals!Z41*Contract_Register!$K$39+Inputs_Actuals!Z74*Contract_Register!$L$39)=0,0,Inputs_Actuals!Z107/(Inputs_Actuals!Z41*Contract_Register!$K$39+Inputs_Actuals!Z74*Contract_Register!$L$39)),Y117*IF(AND(Assumptions!Z$201&gt;Contract_Register!$T$39,MOD(Assumptions!Z$201-Contract_Register!$T$39,12)=0),(1+Assumptions!$F$179)*IF(MOD(Assumptions!Z$201-Contract_Register!$T$39,Assumptions!$C$90)=0,1+Assumptions!$F$180,1),1))</f>
        <v>1.03</v>
      </c>
      <c r="AA117" s="107" t="n">
        <f aca="false">IF(AA$5="A",IF((Inputs_Actuals!AA41*Contract_Register!$K$39+Inputs_Actuals!AA74*Contract_Register!$L$39)=0,0,Inputs_Actuals!AA107/(Inputs_Actuals!AA41*Contract_Register!$K$39+Inputs_Actuals!AA74*Contract_Register!$L$39)),Z117*IF(AND(Assumptions!AA$201&gt;Contract_Register!$T$39,MOD(Assumptions!AA$201-Contract_Register!$T$39,12)=0),(1+Assumptions!$F$179)*IF(MOD(Assumptions!AA$201-Contract_Register!$T$39,Assumptions!$C$90)=0,1+Assumptions!$F$180,1),1))</f>
        <v>1.03</v>
      </c>
      <c r="AB117" s="107" t="n">
        <f aca="false">IF(AB$5="A",IF((Inputs_Actuals!AB41*Contract_Register!$K$39+Inputs_Actuals!AB74*Contract_Register!$L$39)=0,0,Inputs_Actuals!AB107/(Inputs_Actuals!AB41*Contract_Register!$K$39+Inputs_Actuals!AB74*Contract_Register!$L$39)),AA117*IF(AND(Assumptions!AB$201&gt;Contract_Register!$T$39,MOD(Assumptions!AB$201-Contract_Register!$T$39,12)=0),(1+Assumptions!$F$179)*IF(MOD(Assumptions!AB$201-Contract_Register!$T$39,Assumptions!$C$90)=0,1+Assumptions!$F$180,1),1))</f>
        <v>1.03</v>
      </c>
    </row>
    <row r="118" customFormat="false" ht="15" hidden="false" customHeight="false" outlineLevel="0" collapsed="false">
      <c r="A118" s="27" t="s">
        <v>846</v>
      </c>
      <c r="B118" s="63" t="s">
        <v>851</v>
      </c>
      <c r="C118" s="121" t="n">
        <f aca="false">P118</f>
        <v>1</v>
      </c>
      <c r="D118" s="121" t="n">
        <f aca="false">AB118</f>
        <v>1.03</v>
      </c>
      <c r="E118" s="107" t="n">
        <f aca="false">IF(Assumptions!E$201&lt;Contract_Register!$T$40,0,IF(Assumptions!E$201=Contract_Register!$T$40,1,0*IF(MOD(Assumptions!E$201-Contract_Register!$T$40,12)=0,1+Assumptions!$F$179,1)))</f>
        <v>0</v>
      </c>
      <c r="F118" s="107" t="n">
        <f aca="false">IF(Assumptions!F$201&lt;Contract_Register!$T$40,0,IF(Assumptions!F$201=Contract_Register!$T$40,1,E118*IF(MOD(Assumptions!F$201-Contract_Register!$T$40,12)=0,1+Assumptions!$F$179,1)))</f>
        <v>0</v>
      </c>
      <c r="G118" s="107" t="n">
        <f aca="false">IF(Assumptions!G$201&lt;Contract_Register!$T$40,0,IF(Assumptions!G$201=Contract_Register!$T$40,1,F118*IF(MOD(Assumptions!G$201-Contract_Register!$T$40,12)=0,1+Assumptions!$F$179,1)))</f>
        <v>0</v>
      </c>
      <c r="H118" s="107" t="n">
        <f aca="false">IF(Assumptions!H$201&lt;Contract_Register!$T$40,0,IF(Assumptions!H$201=Contract_Register!$T$40,1,G118*IF(MOD(Assumptions!H$201-Contract_Register!$T$40,12)=0,1+Assumptions!$F$179,1)))</f>
        <v>0</v>
      </c>
      <c r="I118" s="107" t="n">
        <f aca="false">IF(Assumptions!I$201&lt;Contract_Register!$T$40,0,IF(Assumptions!I$201=Contract_Register!$T$40,1,H118*IF(MOD(Assumptions!I$201-Contract_Register!$T$40,12)=0,1+Assumptions!$F$179,1)))</f>
        <v>0</v>
      </c>
      <c r="J118" s="107" t="n">
        <f aca="false">IF(Assumptions!J$201&lt;Contract_Register!$T$40,0,IF(Assumptions!J$201=Contract_Register!$T$40,1,I118*IF(MOD(Assumptions!J$201-Contract_Register!$T$40,12)=0,1+Assumptions!$F$179,1)))</f>
        <v>0</v>
      </c>
      <c r="K118" s="107" t="n">
        <f aca="false">IF(Assumptions!K$201&lt;Contract_Register!$T$40,0,IF(Assumptions!K$201=Contract_Register!$T$40,1,J118*IF(MOD(Assumptions!K$201-Contract_Register!$T$40,12)=0,1+Assumptions!$F$179,1)))</f>
        <v>0</v>
      </c>
      <c r="L118" s="107" t="n">
        <f aca="false">IF(Assumptions!L$201&lt;Contract_Register!$T$40,0,IF(Assumptions!L$201=Contract_Register!$T$40,1,K118*IF(MOD(Assumptions!L$201-Contract_Register!$T$40,12)=0,1+Assumptions!$F$179,1)))</f>
        <v>0</v>
      </c>
      <c r="M118" s="107" t="n">
        <f aca="false">IF(Assumptions!M$201&lt;Contract_Register!$T$40,0,IF(Assumptions!M$201=Contract_Register!$T$40,1,L118*IF(MOD(Assumptions!M$201-Contract_Register!$T$40,12)=0,1+Assumptions!$F$179,1)))</f>
        <v>0</v>
      </c>
      <c r="N118" s="107" t="n">
        <f aca="false">IF(Assumptions!N$201&lt;Contract_Register!$T$40,0,IF(Assumptions!N$201=Contract_Register!$T$40,1,M118*IF(MOD(Assumptions!N$201-Contract_Register!$T$40,12)=0,1+Assumptions!$F$179,1)))</f>
        <v>0</v>
      </c>
      <c r="O118" s="107" t="n">
        <f aca="false">IF(Assumptions!O$201&lt;Contract_Register!$T$40,0,IF(Assumptions!O$201=Contract_Register!$T$40,1,N118*IF(MOD(Assumptions!O$201-Contract_Register!$T$40,12)=0,1+Assumptions!$F$179,1)))</f>
        <v>1</v>
      </c>
      <c r="P118" s="107" t="n">
        <f aca="false">IF(Assumptions!P$201&lt;Contract_Register!$T$40,0,IF(Assumptions!P$201=Contract_Register!$T$40,1,O118*IF(MOD(Assumptions!P$201-Contract_Register!$T$40,12)=0,1+Assumptions!$F$179,1)))</f>
        <v>1</v>
      </c>
      <c r="Q118" s="107" t="n">
        <f aca="false">IF(Assumptions!Q$201&lt;Contract_Register!$T$40,0,IF(Assumptions!Q$201=Contract_Register!$T$40,1,P118*IF(MOD(Assumptions!Q$201-Contract_Register!$T$40,12)=0,1+Assumptions!$F$179,1)))</f>
        <v>1</v>
      </c>
      <c r="R118" s="107" t="n">
        <f aca="false">IF(Assumptions!R$201&lt;Contract_Register!$T$40,0,IF(Assumptions!R$201=Contract_Register!$T$40,1,Q118*IF(MOD(Assumptions!R$201-Contract_Register!$T$40,12)=0,1+Assumptions!$F$179,1)))</f>
        <v>1</v>
      </c>
      <c r="S118" s="107" t="n">
        <f aca="false">IF(Assumptions!S$201&lt;Contract_Register!$T$40,0,IF(Assumptions!S$201=Contract_Register!$T$40,1,R118*IF(MOD(Assumptions!S$201-Contract_Register!$T$40,12)=0,1+Assumptions!$F$179,1)))</f>
        <v>1</v>
      </c>
      <c r="T118" s="107" t="n">
        <f aca="false">IF(Assumptions!T$201&lt;Contract_Register!$T$40,0,IF(Assumptions!T$201=Contract_Register!$T$40,1,S118*IF(MOD(Assumptions!T$201-Contract_Register!$T$40,12)=0,1+Assumptions!$F$179,1)))</f>
        <v>1</v>
      </c>
      <c r="U118" s="107" t="n">
        <f aca="false">IF(Assumptions!U$201&lt;Contract_Register!$T$40,0,IF(Assumptions!U$201=Contract_Register!$T$40,1,T118*IF(MOD(Assumptions!U$201-Contract_Register!$T$40,12)=0,1+Assumptions!$F$179,1)))</f>
        <v>1</v>
      </c>
      <c r="V118" s="107" t="n">
        <f aca="false">IF(Assumptions!V$201&lt;Contract_Register!$T$40,0,IF(Assumptions!V$201=Contract_Register!$T$40,1,U118*IF(MOD(Assumptions!V$201-Contract_Register!$T$40,12)=0,1+Assumptions!$F$179,1)))</f>
        <v>1</v>
      </c>
      <c r="W118" s="107" t="n">
        <f aca="false">IF(Assumptions!W$201&lt;Contract_Register!$T$40,0,IF(Assumptions!W$201=Contract_Register!$T$40,1,V118*IF(MOD(Assumptions!W$201-Contract_Register!$T$40,12)=0,1+Assumptions!$F$179,1)))</f>
        <v>1</v>
      </c>
      <c r="X118" s="107" t="n">
        <f aca="false">IF(Assumptions!X$201&lt;Contract_Register!$T$40,0,IF(Assumptions!X$201=Contract_Register!$T$40,1,W118*IF(MOD(Assumptions!X$201-Contract_Register!$T$40,12)=0,1+Assumptions!$F$179,1)))</f>
        <v>1</v>
      </c>
      <c r="Y118" s="107" t="n">
        <f aca="false">IF(Assumptions!Y$201&lt;Contract_Register!$T$40,0,IF(Assumptions!Y$201=Contract_Register!$T$40,1,X118*IF(MOD(Assumptions!Y$201-Contract_Register!$T$40,12)=0,1+Assumptions!$F$179,1)))</f>
        <v>1</v>
      </c>
      <c r="Z118" s="107" t="n">
        <f aca="false">IF(Assumptions!Z$201&lt;Contract_Register!$T$40,0,IF(Assumptions!Z$201=Contract_Register!$T$40,1,Y118*IF(MOD(Assumptions!Z$201-Contract_Register!$T$40,12)=0,1+Assumptions!$F$179,1)))</f>
        <v>1</v>
      </c>
      <c r="AA118" s="107" t="n">
        <f aca="false">IF(Assumptions!AA$201&lt;Contract_Register!$T$40,0,IF(Assumptions!AA$201=Contract_Register!$T$40,1,Z118*IF(MOD(Assumptions!AA$201-Contract_Register!$T$40,12)=0,1+Assumptions!$F$179,1)))</f>
        <v>1.03</v>
      </c>
      <c r="AB118" s="107" t="n">
        <f aca="false">IF(Assumptions!AB$201&lt;Contract_Register!$T$40,0,IF(Assumptions!AB$201=Contract_Register!$T$40,1,AA118*IF(MOD(Assumptions!AB$201-Contract_Register!$T$40,12)=0,1+Assumptions!$F$179,1)))</f>
        <v>1.03</v>
      </c>
    </row>
    <row r="119" customFormat="false" ht="15" hidden="false" customHeight="false" outlineLevel="0" collapsed="false">
      <c r="A119" s="27" t="s">
        <v>847</v>
      </c>
      <c r="B119" s="63" t="s">
        <v>851</v>
      </c>
      <c r="C119" s="121" t="n">
        <f aca="false">P119</f>
        <v>0</v>
      </c>
      <c r="D119" s="121" t="n">
        <f aca="false">AB119</f>
        <v>1</v>
      </c>
      <c r="E119" s="107" t="n">
        <f aca="false">IF(Assumptions!E$201&lt;Contract_Register!$T$41,0,IF(Assumptions!E$201=Contract_Register!$T$41,1,0*IF(MOD(Assumptions!E$201-Contract_Register!$T$41,12)=0,1+Assumptions!$F$179,1)))</f>
        <v>0</v>
      </c>
      <c r="F119" s="107" t="n">
        <f aca="false">IF(Assumptions!F$201&lt;Contract_Register!$T$41,0,IF(Assumptions!F$201=Contract_Register!$T$41,1,E119*IF(MOD(Assumptions!F$201-Contract_Register!$T$41,12)=0,1+Assumptions!$F$179,1)))</f>
        <v>0</v>
      </c>
      <c r="G119" s="107" t="n">
        <f aca="false">IF(Assumptions!G$201&lt;Contract_Register!$T$41,0,IF(Assumptions!G$201=Contract_Register!$T$41,1,F119*IF(MOD(Assumptions!G$201-Contract_Register!$T$41,12)=0,1+Assumptions!$F$179,1)))</f>
        <v>0</v>
      </c>
      <c r="H119" s="107" t="n">
        <f aca="false">IF(Assumptions!H$201&lt;Contract_Register!$T$41,0,IF(Assumptions!H$201=Contract_Register!$T$41,1,G119*IF(MOD(Assumptions!H$201-Contract_Register!$T$41,12)=0,1+Assumptions!$F$179,1)))</f>
        <v>0</v>
      </c>
      <c r="I119" s="107" t="n">
        <f aca="false">IF(Assumptions!I$201&lt;Contract_Register!$T$41,0,IF(Assumptions!I$201=Contract_Register!$T$41,1,H119*IF(MOD(Assumptions!I$201-Contract_Register!$T$41,12)=0,1+Assumptions!$F$179,1)))</f>
        <v>0</v>
      </c>
      <c r="J119" s="107" t="n">
        <f aca="false">IF(Assumptions!J$201&lt;Contract_Register!$T$41,0,IF(Assumptions!J$201=Contract_Register!$T$41,1,I119*IF(MOD(Assumptions!J$201-Contract_Register!$T$41,12)=0,1+Assumptions!$F$179,1)))</f>
        <v>0</v>
      </c>
      <c r="K119" s="107" t="n">
        <f aca="false">IF(Assumptions!K$201&lt;Contract_Register!$T$41,0,IF(Assumptions!K$201=Contract_Register!$T$41,1,J119*IF(MOD(Assumptions!K$201-Contract_Register!$T$41,12)=0,1+Assumptions!$F$179,1)))</f>
        <v>0</v>
      </c>
      <c r="L119" s="107" t="n">
        <f aca="false">IF(Assumptions!L$201&lt;Contract_Register!$T$41,0,IF(Assumptions!L$201=Contract_Register!$T$41,1,K119*IF(MOD(Assumptions!L$201-Contract_Register!$T$41,12)=0,1+Assumptions!$F$179,1)))</f>
        <v>0</v>
      </c>
      <c r="M119" s="107" t="n">
        <f aca="false">IF(Assumptions!M$201&lt;Contract_Register!$T$41,0,IF(Assumptions!M$201=Contract_Register!$T$41,1,L119*IF(MOD(Assumptions!M$201-Contract_Register!$T$41,12)=0,1+Assumptions!$F$179,1)))</f>
        <v>0</v>
      </c>
      <c r="N119" s="107" t="n">
        <f aca="false">IF(Assumptions!N$201&lt;Contract_Register!$T$41,0,IF(Assumptions!N$201=Contract_Register!$T$41,1,M119*IF(MOD(Assumptions!N$201-Contract_Register!$T$41,12)=0,1+Assumptions!$F$179,1)))</f>
        <v>0</v>
      </c>
      <c r="O119" s="107" t="n">
        <f aca="false">IF(Assumptions!O$201&lt;Contract_Register!$T$41,0,IF(Assumptions!O$201=Contract_Register!$T$41,1,N119*IF(MOD(Assumptions!O$201-Contract_Register!$T$41,12)=0,1+Assumptions!$F$179,1)))</f>
        <v>0</v>
      </c>
      <c r="P119" s="107" t="n">
        <f aca="false">IF(Assumptions!P$201&lt;Contract_Register!$T$41,0,IF(Assumptions!P$201=Contract_Register!$T$41,1,O119*IF(MOD(Assumptions!P$201-Contract_Register!$T$41,12)=0,1+Assumptions!$F$179,1)))</f>
        <v>0</v>
      </c>
      <c r="Q119" s="107" t="n">
        <f aca="false">IF(Assumptions!Q$201&lt;Contract_Register!$T$41,0,IF(Assumptions!Q$201=Contract_Register!$T$41,1,P119*IF(MOD(Assumptions!Q$201-Contract_Register!$T$41,12)=0,1+Assumptions!$F$179,1)))</f>
        <v>1</v>
      </c>
      <c r="R119" s="107" t="n">
        <f aca="false">IF(Assumptions!R$201&lt;Contract_Register!$T$41,0,IF(Assumptions!R$201=Contract_Register!$T$41,1,Q119*IF(MOD(Assumptions!R$201-Contract_Register!$T$41,12)=0,1+Assumptions!$F$179,1)))</f>
        <v>1</v>
      </c>
      <c r="S119" s="107" t="n">
        <f aca="false">IF(Assumptions!S$201&lt;Contract_Register!$T$41,0,IF(Assumptions!S$201=Contract_Register!$T$41,1,R119*IF(MOD(Assumptions!S$201-Contract_Register!$T$41,12)=0,1+Assumptions!$F$179,1)))</f>
        <v>1</v>
      </c>
      <c r="T119" s="107" t="n">
        <f aca="false">IF(Assumptions!T$201&lt;Contract_Register!$T$41,0,IF(Assumptions!T$201=Contract_Register!$T$41,1,S119*IF(MOD(Assumptions!T$201-Contract_Register!$T$41,12)=0,1+Assumptions!$F$179,1)))</f>
        <v>1</v>
      </c>
      <c r="U119" s="107" t="n">
        <f aca="false">IF(Assumptions!U$201&lt;Contract_Register!$T$41,0,IF(Assumptions!U$201=Contract_Register!$T$41,1,T119*IF(MOD(Assumptions!U$201-Contract_Register!$T$41,12)=0,1+Assumptions!$F$179,1)))</f>
        <v>1</v>
      </c>
      <c r="V119" s="107" t="n">
        <f aca="false">IF(Assumptions!V$201&lt;Contract_Register!$T$41,0,IF(Assumptions!V$201=Contract_Register!$T$41,1,U119*IF(MOD(Assumptions!V$201-Contract_Register!$T$41,12)=0,1+Assumptions!$F$179,1)))</f>
        <v>1</v>
      </c>
      <c r="W119" s="107" t="n">
        <f aca="false">IF(Assumptions!W$201&lt;Contract_Register!$T$41,0,IF(Assumptions!W$201=Contract_Register!$T$41,1,V119*IF(MOD(Assumptions!W$201-Contract_Register!$T$41,12)=0,1+Assumptions!$F$179,1)))</f>
        <v>1</v>
      </c>
      <c r="X119" s="107" t="n">
        <f aca="false">IF(Assumptions!X$201&lt;Contract_Register!$T$41,0,IF(Assumptions!X$201=Contract_Register!$T$41,1,W119*IF(MOD(Assumptions!X$201-Contract_Register!$T$41,12)=0,1+Assumptions!$F$179,1)))</f>
        <v>1</v>
      </c>
      <c r="Y119" s="107" t="n">
        <f aca="false">IF(Assumptions!Y$201&lt;Contract_Register!$T$41,0,IF(Assumptions!Y$201=Contract_Register!$T$41,1,X119*IF(MOD(Assumptions!Y$201-Contract_Register!$T$41,12)=0,1+Assumptions!$F$179,1)))</f>
        <v>1</v>
      </c>
      <c r="Z119" s="107" t="n">
        <f aca="false">IF(Assumptions!Z$201&lt;Contract_Register!$T$41,0,IF(Assumptions!Z$201=Contract_Register!$T$41,1,Y119*IF(MOD(Assumptions!Z$201-Contract_Register!$T$41,12)=0,1+Assumptions!$F$179,1)))</f>
        <v>1</v>
      </c>
      <c r="AA119" s="107" t="n">
        <f aca="false">IF(Assumptions!AA$201&lt;Contract_Register!$T$41,0,IF(Assumptions!AA$201=Contract_Register!$T$41,1,Z119*IF(MOD(Assumptions!AA$201-Contract_Register!$T$41,12)=0,1+Assumptions!$F$179,1)))</f>
        <v>1</v>
      </c>
      <c r="AB119" s="107" t="n">
        <f aca="false">IF(Assumptions!AB$201&lt;Contract_Register!$T$41,0,IF(Assumptions!AB$201=Contract_Register!$T$41,1,AA119*IF(MOD(Assumptions!AB$201-Contract_Register!$T$41,12)=0,1+Assumptions!$F$179,1)))</f>
        <v>1</v>
      </c>
    </row>
    <row r="120" customFormat="false" ht="15" hidden="false" customHeight="false" outlineLevel="0" collapsed="false">
      <c r="A120" s="27" t="s">
        <v>848</v>
      </c>
      <c r="B120" s="63" t="s">
        <v>851</v>
      </c>
      <c r="C120" s="121" t="n">
        <f aca="false">P120</f>
        <v>0</v>
      </c>
      <c r="D120" s="121" t="n">
        <f aca="false">AB120</f>
        <v>1</v>
      </c>
      <c r="E120" s="107" t="n">
        <f aca="false">IF(Assumptions!E$201&lt;Contract_Register!$T$42,0,IF(Assumptions!E$201=Contract_Register!$T$42,1,0*IF(MOD(Assumptions!E$201-Contract_Register!$T$42,12)=0,1+Assumptions!$F$179,1)))</f>
        <v>0</v>
      </c>
      <c r="F120" s="107" t="n">
        <f aca="false">IF(Assumptions!F$201&lt;Contract_Register!$T$42,0,IF(Assumptions!F$201=Contract_Register!$T$42,1,E120*IF(MOD(Assumptions!F$201-Contract_Register!$T$42,12)=0,1+Assumptions!$F$179,1)))</f>
        <v>0</v>
      </c>
      <c r="G120" s="107" t="n">
        <f aca="false">IF(Assumptions!G$201&lt;Contract_Register!$T$42,0,IF(Assumptions!G$201=Contract_Register!$T$42,1,F120*IF(MOD(Assumptions!G$201-Contract_Register!$T$42,12)=0,1+Assumptions!$F$179,1)))</f>
        <v>0</v>
      </c>
      <c r="H120" s="107" t="n">
        <f aca="false">IF(Assumptions!H$201&lt;Contract_Register!$T$42,0,IF(Assumptions!H$201=Contract_Register!$T$42,1,G120*IF(MOD(Assumptions!H$201-Contract_Register!$T$42,12)=0,1+Assumptions!$F$179,1)))</f>
        <v>0</v>
      </c>
      <c r="I120" s="107" t="n">
        <f aca="false">IF(Assumptions!I$201&lt;Contract_Register!$T$42,0,IF(Assumptions!I$201=Contract_Register!$T$42,1,H120*IF(MOD(Assumptions!I$201-Contract_Register!$T$42,12)=0,1+Assumptions!$F$179,1)))</f>
        <v>0</v>
      </c>
      <c r="J120" s="107" t="n">
        <f aca="false">IF(Assumptions!J$201&lt;Contract_Register!$T$42,0,IF(Assumptions!J$201=Contract_Register!$T$42,1,I120*IF(MOD(Assumptions!J$201-Contract_Register!$T$42,12)=0,1+Assumptions!$F$179,1)))</f>
        <v>0</v>
      </c>
      <c r="K120" s="107" t="n">
        <f aca="false">IF(Assumptions!K$201&lt;Contract_Register!$T$42,0,IF(Assumptions!K$201=Contract_Register!$T$42,1,J120*IF(MOD(Assumptions!K$201-Contract_Register!$T$42,12)=0,1+Assumptions!$F$179,1)))</f>
        <v>0</v>
      </c>
      <c r="L120" s="107" t="n">
        <f aca="false">IF(Assumptions!L$201&lt;Contract_Register!$T$42,0,IF(Assumptions!L$201=Contract_Register!$T$42,1,K120*IF(MOD(Assumptions!L$201-Contract_Register!$T$42,12)=0,1+Assumptions!$F$179,1)))</f>
        <v>0</v>
      </c>
      <c r="M120" s="107" t="n">
        <f aca="false">IF(Assumptions!M$201&lt;Contract_Register!$T$42,0,IF(Assumptions!M$201=Contract_Register!$T$42,1,L120*IF(MOD(Assumptions!M$201-Contract_Register!$T$42,12)=0,1+Assumptions!$F$179,1)))</f>
        <v>0</v>
      </c>
      <c r="N120" s="107" t="n">
        <f aca="false">IF(Assumptions!N$201&lt;Contract_Register!$T$42,0,IF(Assumptions!N$201=Contract_Register!$T$42,1,M120*IF(MOD(Assumptions!N$201-Contract_Register!$T$42,12)=0,1+Assumptions!$F$179,1)))</f>
        <v>0</v>
      </c>
      <c r="O120" s="107" t="n">
        <f aca="false">IF(Assumptions!O$201&lt;Contract_Register!$T$42,0,IF(Assumptions!O$201=Contract_Register!$T$42,1,N120*IF(MOD(Assumptions!O$201-Contract_Register!$T$42,12)=0,1+Assumptions!$F$179,1)))</f>
        <v>0</v>
      </c>
      <c r="P120" s="107" t="n">
        <f aca="false">IF(Assumptions!P$201&lt;Contract_Register!$T$42,0,IF(Assumptions!P$201=Contract_Register!$T$42,1,O120*IF(MOD(Assumptions!P$201-Contract_Register!$T$42,12)=0,1+Assumptions!$F$179,1)))</f>
        <v>0</v>
      </c>
      <c r="Q120" s="107" t="n">
        <f aca="false">IF(Assumptions!Q$201&lt;Contract_Register!$T$42,0,IF(Assumptions!Q$201=Contract_Register!$T$42,1,P120*IF(MOD(Assumptions!Q$201-Contract_Register!$T$42,12)=0,1+Assumptions!$F$179,1)))</f>
        <v>0</v>
      </c>
      <c r="R120" s="107" t="n">
        <f aca="false">IF(Assumptions!R$201&lt;Contract_Register!$T$42,0,IF(Assumptions!R$201=Contract_Register!$T$42,1,Q120*IF(MOD(Assumptions!R$201-Contract_Register!$T$42,12)=0,1+Assumptions!$F$179,1)))</f>
        <v>1</v>
      </c>
      <c r="S120" s="107" t="n">
        <f aca="false">IF(Assumptions!S$201&lt;Contract_Register!$T$42,0,IF(Assumptions!S$201=Contract_Register!$T$42,1,R120*IF(MOD(Assumptions!S$201-Contract_Register!$T$42,12)=0,1+Assumptions!$F$179,1)))</f>
        <v>1</v>
      </c>
      <c r="T120" s="107" t="n">
        <f aca="false">IF(Assumptions!T$201&lt;Contract_Register!$T$42,0,IF(Assumptions!T$201=Contract_Register!$T$42,1,S120*IF(MOD(Assumptions!T$201-Contract_Register!$T$42,12)=0,1+Assumptions!$F$179,1)))</f>
        <v>1</v>
      </c>
      <c r="U120" s="107" t="n">
        <f aca="false">IF(Assumptions!U$201&lt;Contract_Register!$T$42,0,IF(Assumptions!U$201=Contract_Register!$T$42,1,T120*IF(MOD(Assumptions!U$201-Contract_Register!$T$42,12)=0,1+Assumptions!$F$179,1)))</f>
        <v>1</v>
      </c>
      <c r="V120" s="107" t="n">
        <f aca="false">IF(Assumptions!V$201&lt;Contract_Register!$T$42,0,IF(Assumptions!V$201=Contract_Register!$T$42,1,U120*IF(MOD(Assumptions!V$201-Contract_Register!$T$42,12)=0,1+Assumptions!$F$179,1)))</f>
        <v>1</v>
      </c>
      <c r="W120" s="107" t="n">
        <f aca="false">IF(Assumptions!W$201&lt;Contract_Register!$T$42,0,IF(Assumptions!W$201=Contract_Register!$T$42,1,V120*IF(MOD(Assumptions!W$201-Contract_Register!$T$42,12)=0,1+Assumptions!$F$179,1)))</f>
        <v>1</v>
      </c>
      <c r="X120" s="107" t="n">
        <f aca="false">IF(Assumptions!X$201&lt;Contract_Register!$T$42,0,IF(Assumptions!X$201=Contract_Register!$T$42,1,W120*IF(MOD(Assumptions!X$201-Contract_Register!$T$42,12)=0,1+Assumptions!$F$179,1)))</f>
        <v>1</v>
      </c>
      <c r="Y120" s="107" t="n">
        <f aca="false">IF(Assumptions!Y$201&lt;Contract_Register!$T$42,0,IF(Assumptions!Y$201=Contract_Register!$T$42,1,X120*IF(MOD(Assumptions!Y$201-Contract_Register!$T$42,12)=0,1+Assumptions!$F$179,1)))</f>
        <v>1</v>
      </c>
      <c r="Z120" s="107" t="n">
        <f aca="false">IF(Assumptions!Z$201&lt;Contract_Register!$T$42,0,IF(Assumptions!Z$201=Contract_Register!$T$42,1,Y120*IF(MOD(Assumptions!Z$201-Contract_Register!$T$42,12)=0,1+Assumptions!$F$179,1)))</f>
        <v>1</v>
      </c>
      <c r="AA120" s="107" t="n">
        <f aca="false">IF(Assumptions!AA$201&lt;Contract_Register!$T$42,0,IF(Assumptions!AA$201=Contract_Register!$T$42,1,Z120*IF(MOD(Assumptions!AA$201-Contract_Register!$T$42,12)=0,1+Assumptions!$F$179,1)))</f>
        <v>1</v>
      </c>
      <c r="AB120" s="107" t="n">
        <f aca="false">IF(Assumptions!AB$201&lt;Contract_Register!$T$42,0,IF(Assumptions!AB$201=Contract_Register!$T$42,1,AA120*IF(MOD(Assumptions!AB$201-Contract_Register!$T$42,12)=0,1+Assumptions!$F$179,1)))</f>
        <v>1</v>
      </c>
    </row>
    <row r="121" customFormat="false" ht="15" hidden="false" customHeight="false" outlineLevel="0" collapsed="false">
      <c r="A121" s="27" t="s">
        <v>849</v>
      </c>
      <c r="B121" s="63" t="s">
        <v>851</v>
      </c>
      <c r="C121" s="121" t="n">
        <f aca="false">P121</f>
        <v>0</v>
      </c>
      <c r="D121" s="121" t="n">
        <f aca="false">AB121</f>
        <v>1</v>
      </c>
      <c r="E121" s="107" t="n">
        <f aca="false">IF(Assumptions!E$201&lt;Contract_Register!$T$43,0,IF(Assumptions!E$201=Contract_Register!$T$43,1,0*IF(MOD(Assumptions!E$201-Contract_Register!$T$43,12)=0,1+Assumptions!$F$179,1)))</f>
        <v>0</v>
      </c>
      <c r="F121" s="107" t="n">
        <f aca="false">IF(Assumptions!F$201&lt;Contract_Register!$T$43,0,IF(Assumptions!F$201=Contract_Register!$T$43,1,E121*IF(MOD(Assumptions!F$201-Contract_Register!$T$43,12)=0,1+Assumptions!$F$179,1)))</f>
        <v>0</v>
      </c>
      <c r="G121" s="107" t="n">
        <f aca="false">IF(Assumptions!G$201&lt;Contract_Register!$T$43,0,IF(Assumptions!G$201=Contract_Register!$T$43,1,F121*IF(MOD(Assumptions!G$201-Contract_Register!$T$43,12)=0,1+Assumptions!$F$179,1)))</f>
        <v>0</v>
      </c>
      <c r="H121" s="107" t="n">
        <f aca="false">IF(Assumptions!H$201&lt;Contract_Register!$T$43,0,IF(Assumptions!H$201=Contract_Register!$T$43,1,G121*IF(MOD(Assumptions!H$201-Contract_Register!$T$43,12)=0,1+Assumptions!$F$179,1)))</f>
        <v>0</v>
      </c>
      <c r="I121" s="107" t="n">
        <f aca="false">IF(Assumptions!I$201&lt;Contract_Register!$T$43,0,IF(Assumptions!I$201=Contract_Register!$T$43,1,H121*IF(MOD(Assumptions!I$201-Contract_Register!$T$43,12)=0,1+Assumptions!$F$179,1)))</f>
        <v>0</v>
      </c>
      <c r="J121" s="107" t="n">
        <f aca="false">IF(Assumptions!J$201&lt;Contract_Register!$T$43,0,IF(Assumptions!J$201=Contract_Register!$T$43,1,I121*IF(MOD(Assumptions!J$201-Contract_Register!$T$43,12)=0,1+Assumptions!$F$179,1)))</f>
        <v>0</v>
      </c>
      <c r="K121" s="107" t="n">
        <f aca="false">IF(Assumptions!K$201&lt;Contract_Register!$T$43,0,IF(Assumptions!K$201=Contract_Register!$T$43,1,J121*IF(MOD(Assumptions!K$201-Contract_Register!$T$43,12)=0,1+Assumptions!$F$179,1)))</f>
        <v>0</v>
      </c>
      <c r="L121" s="107" t="n">
        <f aca="false">IF(Assumptions!L$201&lt;Contract_Register!$T$43,0,IF(Assumptions!L$201=Contract_Register!$T$43,1,K121*IF(MOD(Assumptions!L$201-Contract_Register!$T$43,12)=0,1+Assumptions!$F$179,1)))</f>
        <v>0</v>
      </c>
      <c r="M121" s="107" t="n">
        <f aca="false">IF(Assumptions!M$201&lt;Contract_Register!$T$43,0,IF(Assumptions!M$201=Contract_Register!$T$43,1,L121*IF(MOD(Assumptions!M$201-Contract_Register!$T$43,12)=0,1+Assumptions!$F$179,1)))</f>
        <v>0</v>
      </c>
      <c r="N121" s="107" t="n">
        <f aca="false">IF(Assumptions!N$201&lt;Contract_Register!$T$43,0,IF(Assumptions!N$201=Contract_Register!$T$43,1,M121*IF(MOD(Assumptions!N$201-Contract_Register!$T$43,12)=0,1+Assumptions!$F$179,1)))</f>
        <v>0</v>
      </c>
      <c r="O121" s="107" t="n">
        <f aca="false">IF(Assumptions!O$201&lt;Contract_Register!$T$43,0,IF(Assumptions!O$201=Contract_Register!$T$43,1,N121*IF(MOD(Assumptions!O$201-Contract_Register!$T$43,12)=0,1+Assumptions!$F$179,1)))</f>
        <v>0</v>
      </c>
      <c r="P121" s="107" t="n">
        <f aca="false">IF(Assumptions!P$201&lt;Contract_Register!$T$43,0,IF(Assumptions!P$201=Contract_Register!$T$43,1,O121*IF(MOD(Assumptions!P$201-Contract_Register!$T$43,12)=0,1+Assumptions!$F$179,1)))</f>
        <v>0</v>
      </c>
      <c r="Q121" s="107" t="n">
        <f aca="false">IF(Assumptions!Q$201&lt;Contract_Register!$T$43,0,IF(Assumptions!Q$201=Contract_Register!$T$43,1,P121*IF(MOD(Assumptions!Q$201-Contract_Register!$T$43,12)=0,1+Assumptions!$F$179,1)))</f>
        <v>0</v>
      </c>
      <c r="R121" s="107" t="n">
        <f aca="false">IF(Assumptions!R$201&lt;Contract_Register!$T$43,0,IF(Assumptions!R$201=Contract_Register!$T$43,1,Q121*IF(MOD(Assumptions!R$201-Contract_Register!$T$43,12)=0,1+Assumptions!$F$179,1)))</f>
        <v>0</v>
      </c>
      <c r="S121" s="107" t="n">
        <f aca="false">IF(Assumptions!S$201&lt;Contract_Register!$T$43,0,IF(Assumptions!S$201=Contract_Register!$T$43,1,R121*IF(MOD(Assumptions!S$201-Contract_Register!$T$43,12)=0,1+Assumptions!$F$179,1)))</f>
        <v>0</v>
      </c>
      <c r="T121" s="107" t="n">
        <f aca="false">IF(Assumptions!T$201&lt;Contract_Register!$T$43,0,IF(Assumptions!T$201=Contract_Register!$T$43,1,S121*IF(MOD(Assumptions!T$201-Contract_Register!$T$43,12)=0,1+Assumptions!$F$179,1)))</f>
        <v>1</v>
      </c>
      <c r="U121" s="107" t="n">
        <f aca="false">IF(Assumptions!U$201&lt;Contract_Register!$T$43,0,IF(Assumptions!U$201=Contract_Register!$T$43,1,T121*IF(MOD(Assumptions!U$201-Contract_Register!$T$43,12)=0,1+Assumptions!$F$179,1)))</f>
        <v>1</v>
      </c>
      <c r="V121" s="107" t="n">
        <f aca="false">IF(Assumptions!V$201&lt;Contract_Register!$T$43,0,IF(Assumptions!V$201=Contract_Register!$T$43,1,U121*IF(MOD(Assumptions!V$201-Contract_Register!$T$43,12)=0,1+Assumptions!$F$179,1)))</f>
        <v>1</v>
      </c>
      <c r="W121" s="107" t="n">
        <f aca="false">IF(Assumptions!W$201&lt;Contract_Register!$T$43,0,IF(Assumptions!W$201=Contract_Register!$T$43,1,V121*IF(MOD(Assumptions!W$201-Contract_Register!$T$43,12)=0,1+Assumptions!$F$179,1)))</f>
        <v>1</v>
      </c>
      <c r="X121" s="107" t="n">
        <f aca="false">IF(Assumptions!X$201&lt;Contract_Register!$T$43,0,IF(Assumptions!X$201=Contract_Register!$T$43,1,W121*IF(MOD(Assumptions!X$201-Contract_Register!$T$43,12)=0,1+Assumptions!$F$179,1)))</f>
        <v>1</v>
      </c>
      <c r="Y121" s="107" t="n">
        <f aca="false">IF(Assumptions!Y$201&lt;Contract_Register!$T$43,0,IF(Assumptions!Y$201=Contract_Register!$T$43,1,X121*IF(MOD(Assumptions!Y$201-Contract_Register!$T$43,12)=0,1+Assumptions!$F$179,1)))</f>
        <v>1</v>
      </c>
      <c r="Z121" s="107" t="n">
        <f aca="false">IF(Assumptions!Z$201&lt;Contract_Register!$T$43,0,IF(Assumptions!Z$201=Contract_Register!$T$43,1,Y121*IF(MOD(Assumptions!Z$201-Contract_Register!$T$43,12)=0,1+Assumptions!$F$179,1)))</f>
        <v>1</v>
      </c>
      <c r="AA121" s="107" t="n">
        <f aca="false">IF(Assumptions!AA$201&lt;Contract_Register!$T$43,0,IF(Assumptions!AA$201=Contract_Register!$T$43,1,Z121*IF(MOD(Assumptions!AA$201-Contract_Register!$T$43,12)=0,1+Assumptions!$F$179,1)))</f>
        <v>1</v>
      </c>
      <c r="AB121" s="107" t="n">
        <f aca="false">IF(Assumptions!AB$201&lt;Contract_Register!$T$43,0,IF(Assumptions!AB$201=Contract_Register!$T$43,1,AA121*IF(MOD(Assumptions!AB$201-Contract_Register!$T$43,12)=0,1+Assumptions!$F$179,1)))</f>
        <v>1</v>
      </c>
    </row>
    <row r="122" customFormat="false" ht="15" hidden="false" customHeight="false" outlineLevel="0" collapsed="false">
      <c r="A122" s="21" t="s">
        <v>852</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row>
    <row r="123" customFormat="false" ht="15" hidden="false" customHeight="false" outlineLevel="0" collapsed="false">
      <c r="A123" s="27" t="s">
        <v>813</v>
      </c>
      <c r="B123" s="63" t="s">
        <v>853</v>
      </c>
      <c r="C123" s="66" t="n">
        <f aca="false">SUM(E123:P123)</f>
        <v>275587.561215053</v>
      </c>
      <c r="D123" s="66" t="n">
        <f aca="false">SUM(Q123:AB123)</f>
        <v>264979.228710867</v>
      </c>
      <c r="E123" s="67" t="n">
        <f aca="false">IF(E$5="A",Inputs_Actuals!E75,(E9*Contract_Register!$K$7+E47*Contract_Register!$L$7)*E85)</f>
        <v>22327</v>
      </c>
      <c r="F123" s="67" t="n">
        <f aca="false">IF(F$5="A",Inputs_Actuals!F75,(F9*Contract_Register!$K$7+F47*Contract_Register!$L$7)*F85)</f>
        <v>22365.5</v>
      </c>
      <c r="G123" s="67" t="n">
        <f aca="false">IF(G$5="A",Inputs_Actuals!G75,(G9*Contract_Register!$K$7+G47*Contract_Register!$L$7)*G85)</f>
        <v>22907.5</v>
      </c>
      <c r="H123" s="67" t="n">
        <f aca="false">IF(H$5="A",Inputs_Actuals!H75,(H9*Contract_Register!$K$7+H47*Contract_Register!$L$7)*H85)</f>
        <v>23012.67</v>
      </c>
      <c r="I123" s="67" t="n">
        <f aca="false">IF(I$5="A",Inputs_Actuals!I75,(I9*Contract_Register!$K$7+I47*Contract_Register!$L$7)*I85)</f>
        <v>23012.67</v>
      </c>
      <c r="J123" s="67" t="n">
        <f aca="false">IF(J$5="A",Inputs_Actuals!J75,(J9*Contract_Register!$K$7+J47*Contract_Register!$L$7)*J85)</f>
        <v>23052.17</v>
      </c>
      <c r="K123" s="67" t="n">
        <f aca="false">IF(K$5="A",Inputs_Actuals!K75,(K9*Contract_Register!$K$7+K47*Contract_Register!$L$7)*K85)</f>
        <v>23052.17</v>
      </c>
      <c r="L123" s="67" t="n">
        <f aca="false">IF(L$5="A",Inputs_Actuals!L75,(L9*Contract_Register!$K$7+L47*Contract_Register!$L$7)*L85)</f>
        <v>23091.67</v>
      </c>
      <c r="M123" s="67" t="n">
        <f aca="false">IF(M$5="A",Inputs_Actuals!M75,(M9*Contract_Register!$K$7+M47*Contract_Register!$L$7)*M85)</f>
        <v>23131.549595727</v>
      </c>
      <c r="N123" s="67" t="n">
        <f aca="false">IF(N$5="A",Inputs_Actuals!N75,(N9*Contract_Register!$K$7+N47*Contract_Register!$L$7)*N85)</f>
        <v>23171.5026469012</v>
      </c>
      <c r="O123" s="67" t="n">
        <f aca="false">IF(O$5="A",Inputs_Actuals!O75,(O9*Contract_Register!$K$7+O47*Contract_Register!$L$7)*O85)</f>
        <v>23211.5292941297</v>
      </c>
      <c r="P123" s="67" t="n">
        <f aca="false">IF(P$5="A",Inputs_Actuals!P75,(P9*Contract_Register!$K$7+P47*Contract_Register!$L$7)*P85)</f>
        <v>23251.6296782946</v>
      </c>
      <c r="Q123" s="67" t="n">
        <f aca="false">IF(Q$5="A",Inputs_Actuals!Q75,(Q9*Contract_Register!$K$7+Q47*Contract_Register!$L$7)*Q85)</f>
        <v>23291.8039405535</v>
      </c>
      <c r="R123" s="67" t="n">
        <f aca="false">IF(R$5="A",Inputs_Actuals!R75,(R9*Contract_Register!$K$7+R47*Contract_Register!$L$7)*R85)</f>
        <v>23332.0522223397</v>
      </c>
      <c r="S123" s="67" t="n">
        <f aca="false">IF(S$5="A",Inputs_Actuals!S75,(S9*Contract_Register!$K$7+S47*Contract_Register!$L$7)*S85)</f>
        <v>21666.1913147919</v>
      </c>
      <c r="T123" s="67" t="n">
        <f aca="false">IF(T$5="A",Inputs_Actuals!T75,(T9*Contract_Register!$K$7+T47*Contract_Register!$L$7)*T85)</f>
        <v>21703.6390985641</v>
      </c>
      <c r="U123" s="67" t="n">
        <f aca="false">IF(U$5="A",Inputs_Actuals!U75,(U9*Contract_Register!$K$7+U47*Contract_Register!$L$7)*U85)</f>
        <v>21741.155893305</v>
      </c>
      <c r="V123" s="67" t="n">
        <f aca="false">IF(V$5="A",Inputs_Actuals!V75,(V9*Contract_Register!$K$7+V47*Contract_Register!$L$7)*V85)</f>
        <v>21778.7418311519</v>
      </c>
      <c r="W123" s="67" t="n">
        <f aca="false">IF(W$5="A",Inputs_Actuals!W75,(W9*Contract_Register!$K$7+W47*Contract_Register!$L$7)*W85)</f>
        <v>21816.3970445006</v>
      </c>
      <c r="X123" s="67" t="n">
        <f aca="false">IF(X$5="A",Inputs_Actuals!X75,(X9*Contract_Register!$K$7+X47*Contract_Register!$L$7)*X85)</f>
        <v>21854.1216660057</v>
      </c>
      <c r="Y123" s="67" t="n">
        <f aca="false">IF(Y$5="A",Inputs_Actuals!Y75,(Y9*Contract_Register!$K$7+Y47*Contract_Register!$L$7)*Y85)</f>
        <v>21891.9158285812</v>
      </c>
      <c r="Z123" s="67" t="n">
        <f aca="false">IF(Z$5="A",Inputs_Actuals!Z75,(Z9*Contract_Register!$K$7+Z47*Contract_Register!$L$7)*Z85)</f>
        <v>21929.7796654011</v>
      </c>
      <c r="AA123" s="67" t="n">
        <f aca="false">IF(AA$5="A",Inputs_Actuals!AA75,(AA9*Contract_Register!$K$7+AA47*Contract_Register!$L$7)*AA85)</f>
        <v>21967.7133098998</v>
      </c>
      <c r="AB123" s="67" t="n">
        <f aca="false">IF(AB$5="A",Inputs_Actuals!AB75,(AB9*Contract_Register!$K$7+AB47*Contract_Register!$L$7)*AB85)</f>
        <v>22005.7168957726</v>
      </c>
    </row>
    <row r="124" customFormat="false" ht="15" hidden="false" customHeight="false" outlineLevel="0" collapsed="false">
      <c r="A124" s="27" t="s">
        <v>814</v>
      </c>
      <c r="B124" s="63" t="s">
        <v>853</v>
      </c>
      <c r="C124" s="66" t="n">
        <f aca="false">SUM(E124:P124)</f>
        <v>193353.694456039</v>
      </c>
      <c r="D124" s="66" t="n">
        <f aca="false">SUM(Q124:AB124)</f>
        <v>207616.947865553</v>
      </c>
      <c r="E124" s="67" t="n">
        <f aca="false">IF(E$5="A",Inputs_Actuals!E76,(E10*Contract_Register!$K$8+E48*Contract_Register!$L$8)*E86)</f>
        <v>15500</v>
      </c>
      <c r="F124" s="67" t="n">
        <f aca="false">IF(F$5="A",Inputs_Actuals!F76,(F10*Contract_Register!$K$8+F48*Contract_Register!$L$8)*F86)</f>
        <v>15588</v>
      </c>
      <c r="G124" s="67" t="n">
        <f aca="false">IF(G$5="A",Inputs_Actuals!G76,(G10*Contract_Register!$K$8+G48*Contract_Register!$L$8)*G86)</f>
        <v>15588</v>
      </c>
      <c r="H124" s="67" t="n">
        <f aca="false">IF(H$5="A",Inputs_Actuals!H76,(H10*Contract_Register!$K$8+H48*Contract_Register!$L$8)*H86)</f>
        <v>16038.43</v>
      </c>
      <c r="I124" s="67" t="n">
        <f aca="false">IF(I$5="A",Inputs_Actuals!I76,(I10*Contract_Register!$K$8+I48*Contract_Register!$L$8)*I86)</f>
        <v>16128.72</v>
      </c>
      <c r="J124" s="67" t="n">
        <f aca="false">IF(J$5="A",Inputs_Actuals!J76,(J10*Contract_Register!$K$8+J48*Contract_Register!$L$8)*J86)</f>
        <v>16173.86</v>
      </c>
      <c r="K124" s="67" t="n">
        <f aca="false">IF(K$5="A",Inputs_Actuals!K76,(K10*Contract_Register!$K$8+K48*Contract_Register!$L$8)*K86)</f>
        <v>16219.01</v>
      </c>
      <c r="L124" s="67" t="n">
        <f aca="false">IF(L$5="A",Inputs_Actuals!L76,(L10*Contract_Register!$K$8+L48*Contract_Register!$L$8)*L86)</f>
        <v>16309.3</v>
      </c>
      <c r="M124" s="67" t="n">
        <f aca="false">IF(M$5="A",Inputs_Actuals!M76,(M10*Contract_Register!$K$8+M48*Contract_Register!$L$8)*M86)</f>
        <v>16366.2060779567</v>
      </c>
      <c r="N124" s="67" t="n">
        <f aca="false">IF(N$5="A",Inputs_Actuals!N76,(N10*Contract_Register!$K$8+N48*Contract_Register!$L$8)*N86)</f>
        <v>16423.3231179812</v>
      </c>
      <c r="O124" s="67" t="n">
        <f aca="false">IF(O$5="A",Inputs_Actuals!O76,(O10*Contract_Register!$K$8+O48*Contract_Register!$L$8)*O86)</f>
        <v>16480.6519305972</v>
      </c>
      <c r="P124" s="67" t="n">
        <f aca="false">IF(P$5="A",Inputs_Actuals!P76,(P10*Contract_Register!$K$8+P48*Contract_Register!$L$8)*P86)</f>
        <v>16538.1933295039</v>
      </c>
      <c r="Q124" s="67" t="n">
        <f aca="false">IF(Q$5="A",Inputs_Actuals!Q76,(Q10*Contract_Register!$K$8+Q48*Contract_Register!$L$8)*Q86)</f>
        <v>16595.9481315886</v>
      </c>
      <c r="R124" s="67" t="n">
        <f aca="false">IF(R$5="A",Inputs_Actuals!R76,(R10*Contract_Register!$K$8+R48*Contract_Register!$L$8)*R86)</f>
        <v>16653.9171569392</v>
      </c>
      <c r="S124" s="67" t="n">
        <f aca="false">IF(S$5="A",Inputs_Actuals!S76,(S10*Contract_Register!$K$8+S48*Contract_Register!$L$8)*S86)</f>
        <v>16712.1012288569</v>
      </c>
      <c r="T124" s="67" t="n">
        <f aca="false">IF(T$5="A",Inputs_Actuals!T76,(T10*Contract_Register!$K$8+T48*Contract_Register!$L$8)*T86)</f>
        <v>17273.6162090848</v>
      </c>
      <c r="U124" s="67" t="n">
        <f aca="false">IF(U$5="A",Inputs_Actuals!U76,(U10*Contract_Register!$K$8+U48*Contract_Register!$L$8)*U86)</f>
        <v>17333.9913563932</v>
      </c>
      <c r="V124" s="67" t="n">
        <f aca="false">IF(V$5="A",Inputs_Actuals!V76,(V10*Contract_Register!$K$8+V48*Contract_Register!$L$8)*V86)</f>
        <v>17394.5905656556</v>
      </c>
      <c r="W124" s="67" t="n">
        <f aca="false">IF(W$5="A",Inputs_Actuals!W76,(W10*Contract_Register!$K$8+W48*Contract_Register!$L$8)*W86)</f>
        <v>17455.4146982428</v>
      </c>
      <c r="X124" s="67" t="n">
        <f aca="false">IF(X$5="A",Inputs_Actuals!X76,(X10*Contract_Register!$K$8+X48*Contract_Register!$L$8)*X86)</f>
        <v>17516.4646189011</v>
      </c>
      <c r="Y124" s="67" t="n">
        <f aca="false">IF(Y$5="A",Inputs_Actuals!Y76,(Y10*Contract_Register!$K$8+Y48*Contract_Register!$L$8)*Y86)</f>
        <v>17577.7411957656</v>
      </c>
      <c r="Z124" s="67" t="n">
        <f aca="false">IF(Z$5="A",Inputs_Actuals!Z76,(Z10*Contract_Register!$K$8+Z48*Contract_Register!$L$8)*Z86)</f>
        <v>17639.2453003744</v>
      </c>
      <c r="AA124" s="67" t="n">
        <f aca="false">IF(AA$5="A",Inputs_Actuals!AA76,(AA10*Contract_Register!$K$8+AA48*Contract_Register!$L$8)*AA86)</f>
        <v>17700.9778076813</v>
      </c>
      <c r="AB124" s="67" t="n">
        <f aca="false">IF(AB$5="A",Inputs_Actuals!AB76,(AB10*Contract_Register!$K$8+AB48*Contract_Register!$L$8)*AB86)</f>
        <v>17762.9395960697</v>
      </c>
    </row>
    <row r="125" customFormat="false" ht="15" hidden="false" customHeight="false" outlineLevel="0" collapsed="false">
      <c r="A125" s="27" t="s">
        <v>815</v>
      </c>
      <c r="B125" s="63" t="s">
        <v>853</v>
      </c>
      <c r="C125" s="66" t="n">
        <f aca="false">SUM(E125:P125)</f>
        <v>97017.7219605703</v>
      </c>
      <c r="D125" s="66" t="n">
        <f aca="false">SUM(Q125:AB125)</f>
        <v>94926.6749321803</v>
      </c>
      <c r="E125" s="67" t="n">
        <f aca="false">IF(E$5="A",Inputs_Actuals!E77,(E11*Contract_Register!$K$9+E49*Contract_Register!$L$9)*E87)</f>
        <v>8090</v>
      </c>
      <c r="F125" s="67" t="n">
        <f aca="false">IF(F$5="A",Inputs_Actuals!F77,(F11*Contract_Register!$K$9+F49*Contract_Register!$L$9)*F87)</f>
        <v>8130</v>
      </c>
      <c r="G125" s="67" t="n">
        <f aca="false">IF(G$5="A",Inputs_Actuals!G77,(G11*Contract_Register!$K$9+G49*Contract_Register!$L$9)*G87)</f>
        <v>8170</v>
      </c>
      <c r="H125" s="67" t="n">
        <f aca="false">IF(H$5="A",Inputs_Actuals!H77,(H11*Contract_Register!$K$9+H49*Contract_Register!$L$9)*H87)</f>
        <v>8170</v>
      </c>
      <c r="I125" s="67" t="n">
        <f aca="false">IF(I$5="A",Inputs_Actuals!I77,(I11*Contract_Register!$K$9+I49*Contract_Register!$L$9)*I87)</f>
        <v>8210</v>
      </c>
      <c r="J125" s="67" t="n">
        <f aca="false">IF(J$5="A",Inputs_Actuals!J77,(J11*Contract_Register!$K$9+J49*Contract_Register!$L$9)*J87)</f>
        <v>8210</v>
      </c>
      <c r="K125" s="67" t="n">
        <f aca="false">IF(K$5="A",Inputs_Actuals!K77,(K11*Contract_Register!$K$9+K49*Contract_Register!$L$9)*K87)</f>
        <v>8210</v>
      </c>
      <c r="L125" s="67" t="n">
        <f aca="false">IF(L$5="A",Inputs_Actuals!L77,(L11*Contract_Register!$K$9+L49*Contract_Register!$L$9)*L87)</f>
        <v>8210</v>
      </c>
      <c r="M125" s="67" t="n">
        <f aca="false">IF(M$5="A",Inputs_Actuals!M77,(M11*Contract_Register!$K$9+M49*Contract_Register!$L$9)*M87)</f>
        <v>8217.165</v>
      </c>
      <c r="N125" s="67" t="n">
        <f aca="false">IF(N$5="A",Inputs_Actuals!N77,(N11*Contract_Register!$K$9+N49*Contract_Register!$L$9)*N87)</f>
        <v>7793.381402433</v>
      </c>
      <c r="O125" s="67" t="n">
        <f aca="false">IF(O$5="A",Inputs_Actuals!O77,(O11*Contract_Register!$K$9+O49*Contract_Register!$L$9)*O87)</f>
        <v>7800.18355134587</v>
      </c>
      <c r="P125" s="67" t="n">
        <f aca="false">IF(P$5="A",Inputs_Actuals!P77,(P11*Contract_Register!$K$9+P49*Contract_Register!$L$9)*P87)</f>
        <v>7806.99200679141</v>
      </c>
      <c r="Q125" s="67" t="n">
        <f aca="false">IF(Q$5="A",Inputs_Actuals!Q77,(Q11*Contract_Register!$K$9+Q49*Contract_Register!$L$9)*Q87)</f>
        <v>7813.80677482834</v>
      </c>
      <c r="R125" s="67" t="n">
        <f aca="false">IF(R$5="A",Inputs_Actuals!R77,(R11*Contract_Register!$K$9+R49*Contract_Register!$L$9)*R87)</f>
        <v>7820.62786152133</v>
      </c>
      <c r="S125" s="67" t="n">
        <f aca="false">IF(S$5="A",Inputs_Actuals!S77,(S11*Contract_Register!$K$9+S49*Contract_Register!$L$9)*S87)</f>
        <v>7827.45527294096</v>
      </c>
      <c r="T125" s="67" t="n">
        <f aca="false">IF(T$5="A",Inputs_Actuals!T77,(T11*Contract_Register!$K$9+T49*Contract_Register!$L$9)*T87)</f>
        <v>7834.2890151638</v>
      </c>
      <c r="U125" s="67" t="n">
        <f aca="false">IF(U$5="A",Inputs_Actuals!U77,(U11*Contract_Register!$K$9+U49*Contract_Register!$L$9)*U87)</f>
        <v>7841.12909427233</v>
      </c>
      <c r="V125" s="67" t="n">
        <f aca="false">IF(V$5="A",Inputs_Actuals!V77,(V11*Contract_Register!$K$9+V49*Contract_Register!$L$9)*V87)</f>
        <v>7847.97551635502</v>
      </c>
      <c r="W125" s="67" t="n">
        <f aca="false">IF(W$5="A",Inputs_Actuals!W77,(W11*Contract_Register!$K$9+W49*Contract_Register!$L$9)*W87)</f>
        <v>7854.82828750629</v>
      </c>
      <c r="X125" s="67" t="n">
        <f aca="false">IF(X$5="A",Inputs_Actuals!X77,(X11*Contract_Register!$K$9+X49*Contract_Register!$L$9)*X87)</f>
        <v>7861.68741382652</v>
      </c>
      <c r="Y125" s="67" t="n">
        <f aca="false">IF(Y$5="A",Inputs_Actuals!Y77,(Y11*Contract_Register!$K$9+Y49*Contract_Register!$L$9)*Y87)</f>
        <v>7868.55290142209</v>
      </c>
      <c r="Z125" s="67" t="n">
        <f aca="false">IF(Z$5="A",Inputs_Actuals!Z77,(Z11*Contract_Register!$K$9+Z49*Contract_Register!$L$9)*Z87)</f>
        <v>8111.68749909751</v>
      </c>
      <c r="AA125" s="67" t="n">
        <f aca="false">IF(AA$5="A",Inputs_Actuals!AA77,(AA11*Contract_Register!$K$9+AA49*Contract_Register!$L$9)*AA87)</f>
        <v>8118.77207444147</v>
      </c>
      <c r="AB125" s="67" t="n">
        <f aca="false">IF(AB$5="A",Inputs_Actuals!AB77,(AB11*Contract_Register!$K$9+AB49*Contract_Register!$L$9)*AB87)</f>
        <v>8125.86322080469</v>
      </c>
    </row>
    <row r="126" customFormat="false" ht="15" hidden="false" customHeight="false" outlineLevel="0" collapsed="false">
      <c r="A126" s="27" t="s">
        <v>816</v>
      </c>
      <c r="B126" s="63" t="s">
        <v>853</v>
      </c>
      <c r="C126" s="66" t="n">
        <f aca="false">SUM(E126:P126)</f>
        <v>80529.9890870974</v>
      </c>
      <c r="D126" s="66" t="n">
        <f aca="false">SUM(Q126:AB126)</f>
        <v>84539.614792811</v>
      </c>
      <c r="E126" s="67" t="n">
        <f aca="false">IF(E$5="A",Inputs_Actuals!E78,(E12*Contract_Register!$K$10+E50*Contract_Register!$L$10)*E88)</f>
        <v>6524</v>
      </c>
      <c r="F126" s="67" t="n">
        <f aca="false">IF(F$5="A",Inputs_Actuals!F78,(F12*Contract_Register!$K$10+F50*Contract_Register!$L$10)*F88)</f>
        <v>6524</v>
      </c>
      <c r="G126" s="67" t="n">
        <f aca="false">IF(G$5="A",Inputs_Actuals!G78,(G12*Contract_Register!$K$10+G50*Contract_Register!$L$10)*G88)</f>
        <v>6693.62</v>
      </c>
      <c r="H126" s="67" t="n">
        <f aca="false">IF(H$5="A",Inputs_Actuals!H78,(H12*Contract_Register!$K$10+H50*Contract_Register!$L$10)*H88)</f>
        <v>6746.98</v>
      </c>
      <c r="I126" s="67" t="n">
        <f aca="false">IF(I$5="A",Inputs_Actuals!I78,(I12*Contract_Register!$K$10+I50*Contract_Register!$L$10)*I88)</f>
        <v>6746.98</v>
      </c>
      <c r="J126" s="67" t="n">
        <f aca="false">IF(J$5="A",Inputs_Actuals!J78,(J12*Contract_Register!$K$10+J50*Contract_Register!$L$10)*J88)</f>
        <v>6746.98</v>
      </c>
      <c r="K126" s="67" t="n">
        <f aca="false">IF(K$5="A",Inputs_Actuals!K78,(K12*Contract_Register!$K$10+K50*Contract_Register!$L$10)*K88)</f>
        <v>6693.62</v>
      </c>
      <c r="L126" s="67" t="n">
        <f aca="false">IF(L$5="A",Inputs_Actuals!L78,(L12*Contract_Register!$K$10+L50*Contract_Register!$L$10)*L88)</f>
        <v>6746.98</v>
      </c>
      <c r="M126" s="67" t="n">
        <f aca="false">IF(M$5="A",Inputs_Actuals!M78,(M12*Contract_Register!$K$10+M50*Contract_Register!$L$10)*M88)</f>
        <v>6758.8487750365</v>
      </c>
      <c r="N126" s="67" t="n">
        <f aca="false">IF(N$5="A",Inputs_Actuals!N78,(N12*Contract_Register!$K$10+N50*Contract_Register!$L$10)*N88)</f>
        <v>6770.7396624381</v>
      </c>
      <c r="O126" s="67" t="n">
        <f aca="false">IF(O$5="A",Inputs_Actuals!O78,(O12*Contract_Register!$K$10+O50*Contract_Register!$L$10)*O88)</f>
        <v>6782.65270480436</v>
      </c>
      <c r="P126" s="67" t="n">
        <f aca="false">IF(P$5="A",Inputs_Actuals!P78,(P12*Contract_Register!$K$10+P50*Contract_Register!$L$10)*P88)</f>
        <v>6794.5879448184</v>
      </c>
      <c r="Q126" s="67" t="n">
        <f aca="false">IF(Q$5="A",Inputs_Actuals!Q78,(Q12*Contract_Register!$K$10+Q50*Contract_Register!$L$10)*Q88)</f>
        <v>6806.54542524706</v>
      </c>
      <c r="R126" s="67" t="n">
        <f aca="false">IF(R$5="A",Inputs_Actuals!R78,(R12*Contract_Register!$K$10+R50*Contract_Register!$L$10)*R88)</f>
        <v>6818.52518894113</v>
      </c>
      <c r="S126" s="67" t="n">
        <f aca="false">IF(S$5="A",Inputs_Actuals!S78,(S12*Contract_Register!$K$10+S50*Contract_Register!$L$10)*S88)</f>
        <v>7035.44309720048</v>
      </c>
      <c r="T126" s="67" t="n">
        <f aca="false">IF(T$5="A",Inputs_Actuals!T78,(T12*Contract_Register!$K$10+T50*Contract_Register!$L$10)*T88)</f>
        <v>7047.82829008749</v>
      </c>
      <c r="U126" s="67" t="n">
        <f aca="false">IF(U$5="A",Inputs_Actuals!U78,(U12*Contract_Register!$K$10+U50*Contract_Register!$L$10)*U88)</f>
        <v>7060.23656766697</v>
      </c>
      <c r="V126" s="67" t="n">
        <f aca="false">IF(V$5="A",Inputs_Actuals!V78,(V12*Contract_Register!$K$10+V50*Contract_Register!$L$10)*V88)</f>
        <v>7072.6679744226</v>
      </c>
      <c r="W126" s="67" t="n">
        <f aca="false">IF(W$5="A",Inputs_Actuals!W78,(W12*Contract_Register!$K$10+W50*Contract_Register!$L$10)*W88)</f>
        <v>7085.12255492536</v>
      </c>
      <c r="X126" s="67" t="n">
        <f aca="false">IF(X$5="A",Inputs_Actuals!X78,(X12*Contract_Register!$K$10+X50*Contract_Register!$L$10)*X88)</f>
        <v>7097.60035383369</v>
      </c>
      <c r="Y126" s="67" t="n">
        <f aca="false">IF(Y$5="A",Inputs_Actuals!Y78,(Y12*Contract_Register!$K$10+Y50*Contract_Register!$L$10)*Y88)</f>
        <v>7110.10141589363</v>
      </c>
      <c r="Z126" s="67" t="n">
        <f aca="false">IF(Z$5="A",Inputs_Actuals!Z78,(Z12*Contract_Register!$K$10+Z50*Contract_Register!$L$10)*Z88)</f>
        <v>7122.62578593904</v>
      </c>
      <c r="AA126" s="67" t="n">
        <f aca="false">IF(AA$5="A",Inputs_Actuals!AA78,(AA12*Contract_Register!$K$10+AA50*Contract_Register!$L$10)*AA88)</f>
        <v>7135.17350889175</v>
      </c>
      <c r="AB126" s="67" t="n">
        <f aca="false">IF(AB$5="A",Inputs_Actuals!AB78,(AB12*Contract_Register!$K$10+AB50*Contract_Register!$L$10)*AB88)</f>
        <v>7147.74462976175</v>
      </c>
    </row>
    <row r="127" customFormat="false" ht="15" hidden="false" customHeight="false" outlineLevel="0" collapsed="false">
      <c r="A127" s="27" t="s">
        <v>817</v>
      </c>
      <c r="B127" s="63" t="s">
        <v>853</v>
      </c>
      <c r="C127" s="66" t="n">
        <f aca="false">SUM(E127:P127)</f>
        <v>160406.767797514</v>
      </c>
      <c r="D127" s="66" t="n">
        <f aca="false">SUM(Q127:AB127)</f>
        <v>163513.229741327</v>
      </c>
      <c r="E127" s="67" t="n">
        <f aca="false">IF(E$5="A",Inputs_Actuals!E79,(E13*Contract_Register!$K$11+E51*Contract_Register!$L$11)*E89)</f>
        <v>13099</v>
      </c>
      <c r="F127" s="67" t="n">
        <f aca="false">IF(F$5="A",Inputs_Actuals!F79,(F13*Contract_Register!$K$11+F51*Contract_Register!$L$11)*F89)</f>
        <v>13128</v>
      </c>
      <c r="G127" s="67" t="n">
        <f aca="false">IF(G$5="A",Inputs_Actuals!G79,(G13*Contract_Register!$K$11+G51*Contract_Register!$L$11)*G89)</f>
        <v>13128</v>
      </c>
      <c r="H127" s="67" t="n">
        <f aca="false">IF(H$5="A",Inputs_Actuals!H79,(H13*Contract_Register!$K$11+H51*Contract_Register!$L$11)*H89)</f>
        <v>13128</v>
      </c>
      <c r="I127" s="67" t="n">
        <f aca="false">IF(I$5="A",Inputs_Actuals!I79,(I13*Contract_Register!$K$11+I51*Contract_Register!$L$11)*I89)</f>
        <v>13176</v>
      </c>
      <c r="J127" s="67" t="n">
        <f aca="false">IF(J$5="A",Inputs_Actuals!J79,(J13*Contract_Register!$K$11+J51*Contract_Register!$L$11)*J89)</f>
        <v>13176</v>
      </c>
      <c r="K127" s="67" t="n">
        <f aca="false">IF(K$5="A",Inputs_Actuals!K79,(K13*Contract_Register!$K$11+K51*Contract_Register!$L$11)*K89)</f>
        <v>13205</v>
      </c>
      <c r="L127" s="67" t="n">
        <f aca="false">IF(L$5="A",Inputs_Actuals!L79,(L13*Contract_Register!$K$11+L51*Contract_Register!$L$11)*L89)</f>
        <v>13627.33</v>
      </c>
      <c r="M127" s="67" t="n">
        <f aca="false">IF(M$5="A",Inputs_Actuals!M79,(M13*Contract_Register!$K$11+M51*Contract_Register!$L$11)*M89)</f>
        <v>13650.3000846288</v>
      </c>
      <c r="N127" s="67" t="n">
        <f aca="false">IF(N$5="A",Inputs_Actuals!N79,(N13*Contract_Register!$K$11+N51*Contract_Register!$L$11)*N89)</f>
        <v>13673.3118248515</v>
      </c>
      <c r="O127" s="67" t="n">
        <f aca="false">IF(O$5="A",Inputs_Actuals!O79,(O13*Contract_Register!$K$11+O51*Contract_Register!$L$11)*O89)</f>
        <v>13696.3652996947</v>
      </c>
      <c r="P127" s="67" t="n">
        <f aca="false">IF(P$5="A",Inputs_Actuals!P79,(P13*Contract_Register!$K$11+P51*Contract_Register!$L$11)*P89)</f>
        <v>13719.4605883388</v>
      </c>
      <c r="Q127" s="67" t="n">
        <f aca="false">IF(Q$5="A",Inputs_Actuals!Q79,(Q13*Contract_Register!$K$11+Q51*Contract_Register!$L$11)*Q89)</f>
        <v>13742.5977701182</v>
      </c>
      <c r="R127" s="67" t="n">
        <f aca="false">IF(R$5="A",Inputs_Actuals!R79,(R13*Contract_Register!$K$11+R51*Contract_Register!$L$11)*R89)</f>
        <v>13765.7769245218</v>
      </c>
      <c r="S127" s="67" t="n">
        <f aca="false">IF(S$5="A",Inputs_Actuals!S79,(S13*Contract_Register!$K$11+S51*Contract_Register!$L$11)*S89)</f>
        <v>13788.9981311931</v>
      </c>
      <c r="T127" s="67" t="n">
        <f aca="false">IF(T$5="A",Inputs_Actuals!T79,(T13*Contract_Register!$K$11+T51*Contract_Register!$L$11)*T89)</f>
        <v>13812.2614699305</v>
      </c>
      <c r="U127" s="67" t="n">
        <f aca="false">IF(U$5="A",Inputs_Actuals!U79,(U13*Contract_Register!$K$11+U51*Contract_Register!$L$11)*U89)</f>
        <v>13835.5670206879</v>
      </c>
      <c r="V127" s="67" t="n">
        <f aca="false">IF(V$5="A",Inputs_Actuals!V79,(V13*Contract_Register!$K$11+V51*Contract_Register!$L$11)*V89)</f>
        <v>13858.9148635745</v>
      </c>
      <c r="W127" s="67" t="n">
        <f aca="false">IF(W$5="A",Inputs_Actuals!W79,(W13*Contract_Register!$K$11+W51*Contract_Register!$L$11)*W89)</f>
        <v>13882.3050788559</v>
      </c>
      <c r="X127" s="67" t="n">
        <f aca="false">IF(X$5="A",Inputs_Actuals!X79,(X13*Contract_Register!$K$11+X51*Contract_Register!$L$11)*X89)</f>
        <v>13320.3061878066</v>
      </c>
      <c r="Y127" s="67" t="n">
        <f aca="false">IF(Y$5="A",Inputs_Actuals!Y79,(Y13*Contract_Register!$K$11+Y51*Contract_Register!$L$11)*Y89)</f>
        <v>13342.7930833153</v>
      </c>
      <c r="Z127" s="67" t="n">
        <f aca="false">IF(Z$5="A",Inputs_Actuals!Z79,(Z13*Contract_Register!$K$11+Z51*Contract_Register!$L$11)*Z89)</f>
        <v>13365.3207988983</v>
      </c>
      <c r="AA127" s="67" t="n">
        <f aca="false">IF(AA$5="A",Inputs_Actuals!AA79,(AA13*Contract_Register!$K$11+AA51*Contract_Register!$L$11)*AA89)</f>
        <v>13387.8894120418</v>
      </c>
      <c r="AB127" s="67" t="n">
        <f aca="false">IF(AB$5="A",Inputs_Actuals!AB79,(AB13*Contract_Register!$K$11+AB51*Contract_Register!$L$11)*AB89)</f>
        <v>13410.4990003831</v>
      </c>
    </row>
    <row r="128" customFormat="false" ht="15" hidden="false" customHeight="false" outlineLevel="0" collapsed="false">
      <c r="A128" s="27" t="s">
        <v>818</v>
      </c>
      <c r="B128" s="63" t="s">
        <v>853</v>
      </c>
      <c r="C128" s="66" t="n">
        <f aca="false">SUM(E128:P128)</f>
        <v>91070.9100069518</v>
      </c>
      <c r="D128" s="66" t="n">
        <f aca="false">SUM(Q128:AB128)</f>
        <v>94697.2044216663</v>
      </c>
      <c r="E128" s="67" t="n">
        <f aca="false">IF(E$5="A",Inputs_Actuals!E80,(E14*Contract_Register!$K$12+E52*Contract_Register!$L$12)*E90)</f>
        <v>7552.39</v>
      </c>
      <c r="F128" s="67" t="n">
        <f aca="false">IF(F$5="A",Inputs_Actuals!F80,(F14*Contract_Register!$K$12+F52*Contract_Register!$L$12)*F90)</f>
        <v>7552.39</v>
      </c>
      <c r="G128" s="67" t="n">
        <f aca="false">IF(G$5="A",Inputs_Actuals!G80,(G14*Contract_Register!$K$12+G52*Contract_Register!$L$12)*G90)</f>
        <v>7594.45</v>
      </c>
      <c r="H128" s="67" t="n">
        <f aca="false">IF(H$5="A",Inputs_Actuals!H80,(H14*Contract_Register!$K$12+H52*Contract_Register!$L$12)*H90)</f>
        <v>7594.45</v>
      </c>
      <c r="I128" s="67" t="n">
        <f aca="false">IF(I$5="A",Inputs_Actuals!I80,(I14*Contract_Register!$K$12+I52*Contract_Register!$L$12)*I90)</f>
        <v>7552.39</v>
      </c>
      <c r="J128" s="67" t="n">
        <f aca="false">IF(J$5="A",Inputs_Actuals!J80,(J14*Contract_Register!$K$12+J52*Contract_Register!$L$12)*J90)</f>
        <v>7594.45</v>
      </c>
      <c r="K128" s="67" t="n">
        <f aca="false">IF(K$5="A",Inputs_Actuals!K80,(K14*Contract_Register!$K$12+K52*Contract_Register!$L$12)*K90)</f>
        <v>7594.45</v>
      </c>
      <c r="L128" s="67" t="n">
        <f aca="false">IF(L$5="A",Inputs_Actuals!L80,(L14*Contract_Register!$K$12+L52*Contract_Register!$L$12)*L90)</f>
        <v>7594.45</v>
      </c>
      <c r="M128" s="67" t="n">
        <f aca="false">IF(M$5="A",Inputs_Actuals!M80,(M14*Contract_Register!$K$12+M52*Contract_Register!$L$12)*M90)</f>
        <v>7600.81325032424</v>
      </c>
      <c r="N128" s="67" t="n">
        <f aca="false">IF(N$5="A",Inputs_Actuals!N80,(N14*Contract_Register!$K$12+N52*Contract_Register!$L$12)*N90)</f>
        <v>7607.18224829896</v>
      </c>
      <c r="O128" s="67" t="n">
        <f aca="false">IF(O$5="A",Inputs_Actuals!O80,(O14*Contract_Register!$K$12+O52*Contract_Register!$L$12)*O90)</f>
        <v>7613.55699936402</v>
      </c>
      <c r="P128" s="67" t="n">
        <f aca="false">IF(P$5="A",Inputs_Actuals!P80,(P14*Contract_Register!$K$12+P52*Contract_Register!$L$12)*P90)</f>
        <v>7619.93750896455</v>
      </c>
      <c r="Q128" s="67" t="n">
        <f aca="false">IF(Q$5="A",Inputs_Actuals!Q80,(Q14*Contract_Register!$K$12+Q52*Contract_Register!$L$12)*Q90)</f>
        <v>7855.11349602751</v>
      </c>
      <c r="R128" s="67" t="n">
        <f aca="false">IF(R$5="A",Inputs_Actuals!R80,(R14*Contract_Register!$K$12+R52*Contract_Register!$L$12)*R90)</f>
        <v>7861.69730034641</v>
      </c>
      <c r="S128" s="67" t="n">
        <f aca="false">IF(S$5="A",Inputs_Actuals!S80,(S14*Contract_Register!$K$12+S52*Contract_Register!$L$12)*S90)</f>
        <v>7868.28705281505</v>
      </c>
      <c r="T128" s="67" t="n">
        <f aca="false">IF(T$5="A",Inputs_Actuals!T80,(T14*Contract_Register!$K$12+T52*Contract_Register!$L$12)*T90)</f>
        <v>7874.88275906373</v>
      </c>
      <c r="U128" s="67" t="n">
        <f aca="false">IF(U$5="A",Inputs_Actuals!U80,(U14*Contract_Register!$K$12+U52*Contract_Register!$L$12)*U90)</f>
        <v>7881.48442472826</v>
      </c>
      <c r="V128" s="67" t="n">
        <f aca="false">IF(V$5="A",Inputs_Actuals!V80,(V14*Contract_Register!$K$12+V52*Contract_Register!$L$12)*V90)</f>
        <v>7888.09205544991</v>
      </c>
      <c r="W128" s="67" t="n">
        <f aca="false">IF(W$5="A",Inputs_Actuals!W80,(W14*Contract_Register!$K$12+W52*Contract_Register!$L$12)*W90)</f>
        <v>7894.70565687543</v>
      </c>
      <c r="X128" s="67" t="n">
        <f aca="false">IF(X$5="A",Inputs_Actuals!X80,(X14*Contract_Register!$K$12+X52*Contract_Register!$L$12)*X90)</f>
        <v>7901.32523465706</v>
      </c>
      <c r="Y128" s="67" t="n">
        <f aca="false">IF(Y$5="A",Inputs_Actuals!Y80,(Y14*Contract_Register!$K$12+Y52*Contract_Register!$L$12)*Y90)</f>
        <v>7907.95079445253</v>
      </c>
      <c r="Z128" s="67" t="n">
        <f aca="false">IF(Z$5="A",Inputs_Actuals!Z80,(Z14*Contract_Register!$K$12+Z52*Contract_Register!$L$12)*Z90)</f>
        <v>7914.58234192508</v>
      </c>
      <c r="AA128" s="67" t="n">
        <f aca="false">IF(AA$5="A",Inputs_Actuals!AA80,(AA14*Contract_Register!$K$12+AA52*Contract_Register!$L$12)*AA90)</f>
        <v>7921.21988274344</v>
      </c>
      <c r="AB128" s="67" t="n">
        <f aca="false">IF(AB$5="A",Inputs_Actuals!AB80,(AB14*Contract_Register!$K$12+AB52*Contract_Register!$L$12)*AB90)</f>
        <v>7927.86342258185</v>
      </c>
    </row>
    <row r="129" customFormat="false" ht="15" hidden="false" customHeight="false" outlineLevel="0" collapsed="false">
      <c r="A129" s="27" t="s">
        <v>819</v>
      </c>
      <c r="B129" s="63" t="s">
        <v>853</v>
      </c>
      <c r="C129" s="66" t="n">
        <f aca="false">SUM(E129:P129)</f>
        <v>71798.2589475524</v>
      </c>
      <c r="D129" s="66" t="n">
        <f aca="false">SUM(Q129:AB129)</f>
        <v>71482.325233413</v>
      </c>
      <c r="E129" s="67" t="n">
        <f aca="false">IF(E$5="A",Inputs_Actuals!E81,(E15*Contract_Register!$K$13+E53*Contract_Register!$L$13)*E91)</f>
        <v>5730</v>
      </c>
      <c r="F129" s="67" t="n">
        <f aca="false">IF(F$5="A",Inputs_Actuals!F81,(F15*Contract_Register!$K$13+F53*Contract_Register!$L$13)*F91)</f>
        <v>5878.98</v>
      </c>
      <c r="G129" s="67" t="n">
        <f aca="false">IF(G$5="A",Inputs_Actuals!G81,(G15*Contract_Register!$K$13+G53*Contract_Register!$L$13)*G91)</f>
        <v>5925.15</v>
      </c>
      <c r="H129" s="67" t="n">
        <f aca="false">IF(H$5="A",Inputs_Actuals!H81,(H15*Contract_Register!$K$13+H53*Contract_Register!$L$13)*H91)</f>
        <v>5925.15</v>
      </c>
      <c r="I129" s="67" t="n">
        <f aca="false">IF(I$5="A",Inputs_Actuals!I81,(I15*Contract_Register!$K$13+I53*Contract_Register!$L$13)*I91)</f>
        <v>5988.76</v>
      </c>
      <c r="J129" s="67" t="n">
        <f aca="false">IF(J$5="A",Inputs_Actuals!J81,(J15*Contract_Register!$K$13+J53*Contract_Register!$L$13)*J91)</f>
        <v>5988.76</v>
      </c>
      <c r="K129" s="67" t="n">
        <f aca="false">IF(K$5="A",Inputs_Actuals!K81,(K15*Contract_Register!$K$13+K53*Contract_Register!$L$13)*K91)</f>
        <v>6034.93</v>
      </c>
      <c r="L129" s="67" t="n">
        <f aca="false">IF(L$5="A",Inputs_Actuals!L81,(L15*Contract_Register!$K$13+L53*Contract_Register!$L$13)*L91)</f>
        <v>6034.93</v>
      </c>
      <c r="M129" s="67" t="n">
        <f aca="false">IF(M$5="A",Inputs_Actuals!M81,(M15*Contract_Register!$K$13+M53*Contract_Register!$L$13)*M91)</f>
        <v>6050.07683298028</v>
      </c>
      <c r="N129" s="67" t="n">
        <f aca="false">IF(N$5="A",Inputs_Actuals!N81,(N15*Contract_Register!$K$13+N53*Contract_Register!$L$13)*N91)</f>
        <v>6065.26466952397</v>
      </c>
      <c r="O129" s="67" t="n">
        <f aca="false">IF(O$5="A",Inputs_Actuals!O81,(O15*Contract_Register!$K$13+O53*Contract_Register!$L$13)*O91)</f>
        <v>6080.49362598636</v>
      </c>
      <c r="P129" s="67" t="n">
        <f aca="false">IF(P$5="A",Inputs_Actuals!P81,(P15*Contract_Register!$K$13+P53*Contract_Register!$L$13)*P91)</f>
        <v>6095.76381906181</v>
      </c>
      <c r="Q129" s="67" t="n">
        <f aca="false">IF(Q$5="A",Inputs_Actuals!Q81,(Q15*Contract_Register!$K$13+Q53*Contract_Register!$L$13)*Q91)</f>
        <v>6111.07536578479</v>
      </c>
      <c r="R129" s="67" t="n">
        <f aca="false">IF(R$5="A",Inputs_Actuals!R81,(R15*Contract_Register!$K$13+R53*Contract_Register!$L$13)*R91)</f>
        <v>5868.50574858419</v>
      </c>
      <c r="S129" s="67" t="n">
        <f aca="false">IF(S$5="A",Inputs_Actuals!S81,(S15*Contract_Register!$K$13+S53*Contract_Register!$L$13)*S91)</f>
        <v>5883.25224213785</v>
      </c>
      <c r="T129" s="67" t="n">
        <f aca="false">IF(T$5="A",Inputs_Actuals!T81,(T15*Contract_Register!$K$13+T53*Contract_Register!$L$13)*T91)</f>
        <v>5898.03868663664</v>
      </c>
      <c r="U129" s="67" t="n">
        <f aca="false">IF(U$5="A",Inputs_Actuals!U81,(U15*Contract_Register!$K$13+U53*Contract_Register!$L$13)*U91)</f>
        <v>5912.86519550058</v>
      </c>
      <c r="V129" s="67" t="n">
        <f aca="false">IF(V$5="A",Inputs_Actuals!V81,(V15*Contract_Register!$K$13+V53*Contract_Register!$L$13)*V91)</f>
        <v>5927.73188248032</v>
      </c>
      <c r="W129" s="67" t="n">
        <f aca="false">IF(W$5="A",Inputs_Actuals!W81,(W15*Contract_Register!$K$13+W53*Contract_Register!$L$13)*W91)</f>
        <v>5942.63886165809</v>
      </c>
      <c r="X129" s="67" t="n">
        <f aca="false">IF(X$5="A",Inputs_Actuals!X81,(X15*Contract_Register!$K$13+X53*Contract_Register!$L$13)*X91)</f>
        <v>5957.58624744869</v>
      </c>
      <c r="Y129" s="67" t="n">
        <f aca="false">IF(Y$5="A",Inputs_Actuals!Y81,(Y15*Contract_Register!$K$13+Y53*Contract_Register!$L$13)*Y91)</f>
        <v>5972.57415460047</v>
      </c>
      <c r="Z129" s="67" t="n">
        <f aca="false">IF(Z$5="A",Inputs_Actuals!Z81,(Z15*Contract_Register!$K$13+Z53*Contract_Register!$L$13)*Z91)</f>
        <v>5987.60269819632</v>
      </c>
      <c r="AA129" s="67" t="n">
        <f aca="false">IF(AA$5="A",Inputs_Actuals!AA81,(AA15*Contract_Register!$K$13+AA53*Contract_Register!$L$13)*AA91)</f>
        <v>6002.67199365465</v>
      </c>
      <c r="AB129" s="67" t="n">
        <f aca="false">IF(AB$5="A",Inputs_Actuals!AB81,(AB15*Contract_Register!$K$13+AB53*Contract_Register!$L$13)*AB91)</f>
        <v>6017.78215673041</v>
      </c>
    </row>
    <row r="130" customFormat="false" ht="15" hidden="false" customHeight="false" outlineLevel="0" collapsed="false">
      <c r="A130" s="27" t="s">
        <v>820</v>
      </c>
      <c r="B130" s="63" t="s">
        <v>853</v>
      </c>
      <c r="C130" s="66" t="n">
        <f aca="false">SUM(E130:P130)</f>
        <v>138842.031587045</v>
      </c>
      <c r="D130" s="66" t="n">
        <f aca="false">SUM(Q130:AB130)</f>
        <v>147179.234228854</v>
      </c>
      <c r="E130" s="67" t="n">
        <f aca="false">IF(E$5="A",Inputs_Actuals!E82,(E16*Contract_Register!$K$14+E54*Contract_Register!$L$14)*E92)</f>
        <v>11357.82</v>
      </c>
      <c r="F130" s="67" t="n">
        <f aca="false">IF(F$5="A",Inputs_Actuals!F82,(F16*Contract_Register!$K$14+F54*Contract_Register!$L$14)*F92)</f>
        <v>11397.83</v>
      </c>
      <c r="G130" s="67" t="n">
        <f aca="false">IF(G$5="A",Inputs_Actuals!G82,(G16*Contract_Register!$K$14+G54*Contract_Register!$L$14)*G92)</f>
        <v>11484.02</v>
      </c>
      <c r="H130" s="67" t="n">
        <f aca="false">IF(H$5="A",Inputs_Actuals!H82,(H16*Contract_Register!$K$14+H54*Contract_Register!$L$14)*H92)</f>
        <v>11524.03</v>
      </c>
      <c r="I130" s="67" t="n">
        <f aca="false">IF(I$5="A",Inputs_Actuals!I82,(I16*Contract_Register!$K$14+I54*Contract_Register!$L$14)*I92)</f>
        <v>11564.05</v>
      </c>
      <c r="J130" s="67" t="n">
        <f aca="false">IF(J$5="A",Inputs_Actuals!J82,(J16*Contract_Register!$K$14+J54*Contract_Register!$L$14)*J92)</f>
        <v>11604.06</v>
      </c>
      <c r="K130" s="67" t="n">
        <f aca="false">IF(K$5="A",Inputs_Actuals!K82,(K16*Contract_Register!$K$14+K54*Contract_Register!$L$14)*K92)</f>
        <v>11604.06</v>
      </c>
      <c r="L130" s="67" t="n">
        <f aca="false">IF(L$5="A",Inputs_Actuals!L82,(L16*Contract_Register!$K$14+L54*Contract_Register!$L$14)*L92)</f>
        <v>11604.06</v>
      </c>
      <c r="M130" s="67" t="n">
        <f aca="false">IF(M$5="A",Inputs_Actuals!M82,(M16*Contract_Register!$K$14+M54*Contract_Register!$L$14)*M92)</f>
        <v>11632.569975</v>
      </c>
      <c r="N130" s="67" t="n">
        <f aca="false">IF(N$5="A",Inputs_Actuals!N82,(N16*Contract_Register!$K$14+N54*Contract_Register!$L$14)*N92)</f>
        <v>11661.1560266175</v>
      </c>
      <c r="O130" s="67" t="n">
        <f aca="false">IF(O$5="A",Inputs_Actuals!O82,(O16*Contract_Register!$K$14+O54*Contract_Register!$L$14)*O92)</f>
        <v>11689.8183689024</v>
      </c>
      <c r="P130" s="67" t="n">
        <f aca="false">IF(P$5="A",Inputs_Actuals!P82,(P16*Contract_Register!$K$14+P54*Contract_Register!$L$14)*P92)</f>
        <v>11718.5572165254</v>
      </c>
      <c r="Q130" s="67" t="n">
        <f aca="false">IF(Q$5="A",Inputs_Actuals!Q82,(Q16*Contract_Register!$K$14+Q54*Contract_Register!$L$14)*Q92)</f>
        <v>12099.7939683235</v>
      </c>
      <c r="R130" s="67" t="n">
        <f aca="false">IF(R$5="A",Inputs_Actuals!R82,(R16*Contract_Register!$K$14+R54*Contract_Register!$L$14)*R92)</f>
        <v>12129.553248272</v>
      </c>
      <c r="S130" s="67" t="n">
        <f aca="false">IF(S$5="A",Inputs_Actuals!S82,(S16*Contract_Register!$K$14+S54*Contract_Register!$L$14)*S92)</f>
        <v>12159.3919959075</v>
      </c>
      <c r="T130" s="67" t="n">
        <f aca="false">IF(T$5="A",Inputs_Actuals!T82,(T16*Contract_Register!$K$14+T54*Contract_Register!$L$14)*T92)</f>
        <v>12189.3104349176</v>
      </c>
      <c r="U130" s="67" t="n">
        <f aca="false">IF(U$5="A",Inputs_Actuals!U82,(U16*Contract_Register!$K$14+U54*Contract_Register!$L$14)*U92)</f>
        <v>12219.3087896393</v>
      </c>
      <c r="V130" s="67" t="n">
        <f aca="false">IF(V$5="A",Inputs_Actuals!V82,(V16*Contract_Register!$K$14+V54*Contract_Register!$L$14)*V92)</f>
        <v>12249.3872850603</v>
      </c>
      <c r="W130" s="67" t="n">
        <f aca="false">IF(W$5="A",Inputs_Actuals!W82,(W16*Contract_Register!$K$14+W54*Contract_Register!$L$14)*W92)</f>
        <v>12279.5461468212</v>
      </c>
      <c r="X130" s="67" t="n">
        <f aca="false">IF(X$5="A",Inputs_Actuals!X82,(X16*Contract_Register!$K$14+X54*Contract_Register!$L$14)*X92)</f>
        <v>12309.7856012172</v>
      </c>
      <c r="Y130" s="67" t="n">
        <f aca="false">IF(Y$5="A",Inputs_Actuals!Y82,(Y16*Contract_Register!$K$14+Y54*Contract_Register!$L$14)*Y92)</f>
        <v>12340.1058752003</v>
      </c>
      <c r="Z130" s="67" t="n">
        <f aca="false">IF(Z$5="A",Inputs_Actuals!Z82,(Z16*Contract_Register!$K$14+Z54*Contract_Register!$L$14)*Z92)</f>
        <v>12370.5071963811</v>
      </c>
      <c r="AA130" s="67" t="n">
        <f aca="false">IF(AA$5="A",Inputs_Actuals!AA82,(AA16*Contract_Register!$K$14+AA54*Contract_Register!$L$14)*AA92)</f>
        <v>12400.9897930308</v>
      </c>
      <c r="AB130" s="67" t="n">
        <f aca="false">IF(AB$5="A",Inputs_Actuals!AB82,(AB16*Contract_Register!$K$14+AB54*Contract_Register!$L$14)*AB92)</f>
        <v>12431.5538940831</v>
      </c>
    </row>
    <row r="131" customFormat="false" ht="15" hidden="false" customHeight="false" outlineLevel="0" collapsed="false">
      <c r="A131" s="27" t="s">
        <v>821</v>
      </c>
      <c r="B131" s="63" t="s">
        <v>853</v>
      </c>
      <c r="C131" s="66" t="n">
        <f aca="false">SUM(E131:P131)</f>
        <v>103540.265585289</v>
      </c>
      <c r="D131" s="66" t="n">
        <f aca="false">SUM(Q131:AB131)</f>
        <v>108808.309174446</v>
      </c>
      <c r="E131" s="67" t="n">
        <f aca="false">IF(E$5="A",Inputs_Actuals!E83,(E17*Contract_Register!$K$15+E55*Contract_Register!$L$15)*E93)</f>
        <v>8395</v>
      </c>
      <c r="F131" s="67" t="n">
        <f aca="false">IF(F$5="A",Inputs_Actuals!F83,(F17*Contract_Register!$K$15+F55*Contract_Register!$L$15)*F93)</f>
        <v>8435</v>
      </c>
      <c r="G131" s="67" t="n">
        <f aca="false">IF(G$5="A",Inputs_Actuals!G83,(G17*Contract_Register!$K$15+G55*Contract_Register!$L$15)*G93)</f>
        <v>8435</v>
      </c>
      <c r="H131" s="67" t="n">
        <f aca="false">IF(H$5="A",Inputs_Actuals!H83,(H17*Contract_Register!$K$15+H55*Contract_Register!$L$15)*H93)</f>
        <v>8475</v>
      </c>
      <c r="I131" s="67" t="n">
        <f aca="false">IF(I$5="A",Inputs_Actuals!I83,(I17*Contract_Register!$K$15+I55*Contract_Register!$L$15)*I93)</f>
        <v>8515</v>
      </c>
      <c r="J131" s="67" t="n">
        <f aca="false">IF(J$5="A",Inputs_Actuals!J83,(J17*Contract_Register!$K$15+J55*Contract_Register!$L$15)*J93)</f>
        <v>8515</v>
      </c>
      <c r="K131" s="67" t="n">
        <f aca="false">IF(K$5="A",Inputs_Actuals!K83,(K17*Contract_Register!$K$15+K55*Contract_Register!$L$15)*K93)</f>
        <v>8736.39</v>
      </c>
      <c r="L131" s="67" t="n">
        <f aca="false">IF(L$5="A",Inputs_Actuals!L83,(L17*Contract_Register!$K$15+L55*Contract_Register!$L$15)*L93)</f>
        <v>8777.43</v>
      </c>
      <c r="M131" s="67" t="n">
        <f aca="false">IF(M$5="A",Inputs_Actuals!M83,(M17*Contract_Register!$K$15+M55*Contract_Register!$L$15)*M93)</f>
        <v>8792.07615</v>
      </c>
      <c r="N131" s="67" t="n">
        <f aca="false">IF(N$5="A",Inputs_Actuals!N83,(N17*Contract_Register!$K$15+N55*Contract_Register!$L$15)*N93)</f>
        <v>8806.74868359</v>
      </c>
      <c r="O131" s="67" t="n">
        <f aca="false">IF(O$5="A",Inputs_Actuals!O83,(O17*Contract_Register!$K$15+O55*Contract_Register!$L$15)*O93)</f>
        <v>8821.44765062847</v>
      </c>
      <c r="P131" s="67" t="n">
        <f aca="false">IF(P$5="A",Inputs_Actuals!P83,(P17*Contract_Register!$K$15+P55*Contract_Register!$L$15)*P93)</f>
        <v>8836.17310107069</v>
      </c>
      <c r="Q131" s="67" t="n">
        <f aca="false">IF(Q$5="A",Inputs_Actuals!Q83,(Q17*Contract_Register!$K$15+Q55*Contract_Register!$L$15)*Q93)</f>
        <v>8850.92508496893</v>
      </c>
      <c r="R131" s="67" t="n">
        <f aca="false">IF(R$5="A",Inputs_Actuals!R83,(R17*Contract_Register!$K$15+R55*Contract_Register!$L$15)*R93)</f>
        <v>8865.70365247267</v>
      </c>
      <c r="S131" s="67" t="n">
        <f aca="false">IF(S$5="A",Inputs_Actuals!S83,(S17*Contract_Register!$K$15+S55*Contract_Register!$L$15)*S93)</f>
        <v>8880.50885382874</v>
      </c>
      <c r="T131" s="67" t="n">
        <f aca="false">IF(T$5="A",Inputs_Actuals!T83,(T17*Contract_Register!$K$15+T55*Contract_Register!$L$15)*T93)</f>
        <v>8895.34073938158</v>
      </c>
      <c r="U131" s="67" t="n">
        <f aca="false">IF(U$5="A",Inputs_Actuals!U83,(U17*Contract_Register!$K$15+U55*Contract_Register!$L$15)*U93)</f>
        <v>8910.19935957338</v>
      </c>
      <c r="V131" s="67" t="n">
        <f aca="false">IF(V$5="A",Inputs_Actuals!V83,(V17*Contract_Register!$K$15+V55*Contract_Register!$L$15)*V93)</f>
        <v>8925.08476494426</v>
      </c>
      <c r="W131" s="67" t="n">
        <f aca="false">IF(W$5="A",Inputs_Actuals!W83,(W17*Contract_Register!$K$15+W55*Contract_Register!$L$15)*W93)</f>
        <v>9208.19691631652</v>
      </c>
      <c r="X131" s="67" t="n">
        <f aca="false">IF(X$5="A",Inputs_Actuals!X83,(X17*Contract_Register!$K$15+X55*Contract_Register!$L$15)*X93)</f>
        <v>9223.58421789111</v>
      </c>
      <c r="Y131" s="67" t="n">
        <f aca="false">IF(Y$5="A",Inputs_Actuals!Y83,(Y17*Contract_Register!$K$15+Y55*Contract_Register!$L$15)*Y93)</f>
        <v>9238.99926497658</v>
      </c>
      <c r="Z131" s="67" t="n">
        <f aca="false">IF(Z$5="A",Inputs_Actuals!Z83,(Z17*Contract_Register!$K$15+Z55*Contract_Register!$L$15)*Z93)</f>
        <v>9254.44211003488</v>
      </c>
      <c r="AA131" s="67" t="n">
        <f aca="false">IF(AA$5="A",Inputs_Actuals!AA83,(AA17*Contract_Register!$K$15+AA55*Contract_Register!$L$15)*AA93)</f>
        <v>9269.91280562982</v>
      </c>
      <c r="AB131" s="67" t="n">
        <f aca="false">IF(AB$5="A",Inputs_Actuals!AB83,(AB17*Contract_Register!$K$15+AB55*Contract_Register!$L$15)*AB93)</f>
        <v>9285.41140442733</v>
      </c>
    </row>
    <row r="132" customFormat="false" ht="15" hidden="false" customHeight="false" outlineLevel="0" collapsed="false">
      <c r="A132" s="27" t="s">
        <v>822</v>
      </c>
      <c r="B132" s="63" t="s">
        <v>853</v>
      </c>
      <c r="C132" s="66" t="n">
        <f aca="false">SUM(E132:P132)</f>
        <v>46851.5082420371</v>
      </c>
      <c r="D132" s="66" t="n">
        <f aca="false">SUM(Q132:AB132)</f>
        <v>48724.6941044723</v>
      </c>
      <c r="E132" s="67" t="n">
        <f aca="false">IF(E$5="A",Inputs_Actuals!E84,(E18*Contract_Register!$K$16+E56*Contract_Register!$L$16)*E94)</f>
        <v>3840</v>
      </c>
      <c r="F132" s="67" t="n">
        <f aca="false">IF(F$5="A",Inputs_Actuals!F84,(F18*Contract_Register!$K$16+F56*Contract_Register!$L$16)*F94)</f>
        <v>3840</v>
      </c>
      <c r="G132" s="67" t="n">
        <f aca="false">IF(G$5="A",Inputs_Actuals!G84,(G18*Contract_Register!$K$16+G56*Contract_Register!$L$16)*G94)</f>
        <v>3840</v>
      </c>
      <c r="H132" s="67" t="n">
        <f aca="false">IF(H$5="A",Inputs_Actuals!H84,(H18*Contract_Register!$K$16+H56*Contract_Register!$L$16)*H94)</f>
        <v>3840</v>
      </c>
      <c r="I132" s="67" t="n">
        <f aca="false">IF(I$5="A",Inputs_Actuals!I84,(I18*Contract_Register!$K$16+I56*Contract_Register!$L$16)*I94)</f>
        <v>3840</v>
      </c>
      <c r="J132" s="67" t="n">
        <f aca="false">IF(J$5="A",Inputs_Actuals!J84,(J18*Contract_Register!$K$16+J56*Contract_Register!$L$16)*J94)</f>
        <v>3890</v>
      </c>
      <c r="K132" s="67" t="n">
        <f aca="false">IF(K$5="A",Inputs_Actuals!K84,(K18*Contract_Register!$K$16+K56*Contract_Register!$L$16)*K94)</f>
        <v>3890</v>
      </c>
      <c r="L132" s="67" t="n">
        <f aca="false">IF(L$5="A",Inputs_Actuals!L84,(L18*Contract_Register!$K$16+L56*Contract_Register!$L$16)*L94)</f>
        <v>3890</v>
      </c>
      <c r="M132" s="67" t="n">
        <f aca="false">IF(M$5="A",Inputs_Actuals!M84,(M18*Contract_Register!$K$16+M56*Contract_Register!$L$16)*M94)</f>
        <v>3896.94</v>
      </c>
      <c r="N132" s="67" t="n">
        <f aca="false">IF(N$5="A",Inputs_Actuals!N84,(N18*Contract_Register!$K$16+N56*Contract_Register!$L$16)*N94)</f>
        <v>4021.0098312</v>
      </c>
      <c r="O132" s="67" t="n">
        <f aca="false">IF(O$5="A",Inputs_Actuals!O84,(O18*Contract_Register!$K$16+O56*Contract_Register!$L$16)*O94)</f>
        <v>4028.1849195972</v>
      </c>
      <c r="P132" s="67" t="n">
        <f aca="false">IF(P$5="A",Inputs_Actuals!P84,(P18*Contract_Register!$K$16+P56*Contract_Register!$L$16)*P94)</f>
        <v>4035.37349123993</v>
      </c>
      <c r="Q132" s="67" t="n">
        <f aca="false">IF(Q$5="A",Inputs_Actuals!Q84,(Q18*Contract_Register!$K$16+Q56*Contract_Register!$L$16)*Q94)</f>
        <v>4042.57557222775</v>
      </c>
      <c r="R132" s="67" t="n">
        <f aca="false">IF(R$5="A",Inputs_Actuals!R84,(R18*Contract_Register!$K$16+R56*Contract_Register!$L$16)*R94)</f>
        <v>4049.79118871155</v>
      </c>
      <c r="S132" s="67" t="n">
        <f aca="false">IF(S$5="A",Inputs_Actuals!S84,(S18*Contract_Register!$K$16+S56*Contract_Register!$L$16)*S94)</f>
        <v>4057.02036689365</v>
      </c>
      <c r="T132" s="67" t="n">
        <f aca="false">IF(T$5="A",Inputs_Actuals!T84,(T18*Contract_Register!$K$16+T56*Contract_Register!$L$16)*T94)</f>
        <v>4064.26313302793</v>
      </c>
      <c r="U132" s="67" t="n">
        <f aca="false">IF(U$5="A",Inputs_Actuals!U84,(U18*Contract_Register!$K$16+U56*Contract_Register!$L$16)*U94)</f>
        <v>4071.51951341987</v>
      </c>
      <c r="V132" s="67" t="n">
        <f aca="false">IF(V$5="A",Inputs_Actuals!V84,(V18*Contract_Register!$K$16+V56*Contract_Register!$L$16)*V94)</f>
        <v>4078.78953442673</v>
      </c>
      <c r="W132" s="67" t="n">
        <f aca="false">IF(W$5="A",Inputs_Actuals!W84,(W18*Contract_Register!$K$16+W56*Contract_Register!$L$16)*W94)</f>
        <v>4086.07322245757</v>
      </c>
      <c r="X132" s="67" t="n">
        <f aca="false">IF(X$5="A",Inputs_Actuals!X84,(X18*Contract_Register!$K$16+X56*Contract_Register!$L$16)*X94)</f>
        <v>4093.37060397344</v>
      </c>
      <c r="Y132" s="67" t="n">
        <f aca="false">IF(Y$5="A",Inputs_Actuals!Y84,(Y18*Contract_Register!$K$16+Y56*Contract_Register!$L$16)*Y94)</f>
        <v>4100.68170548742</v>
      </c>
      <c r="Z132" s="67" t="n">
        <f aca="false">IF(Z$5="A",Inputs_Actuals!Z84,(Z18*Contract_Register!$K$16+Z56*Contract_Register!$L$16)*Z94)</f>
        <v>4019.68441266308</v>
      </c>
      <c r="AA132" s="67" t="n">
        <f aca="false">IF(AA$5="A",Inputs_Actuals!AA84,(AA18*Contract_Register!$K$16+AA56*Contract_Register!$L$16)*AA94)</f>
        <v>4026.86525356416</v>
      </c>
      <c r="AB132" s="67" t="n">
        <f aca="false">IF(AB$5="A",Inputs_Actuals!AB84,(AB18*Contract_Register!$K$16+AB56*Contract_Register!$L$16)*AB94)</f>
        <v>4034.05959761912</v>
      </c>
    </row>
    <row r="133" customFormat="false" ht="15" hidden="false" customHeight="false" outlineLevel="0" collapsed="false">
      <c r="A133" s="27" t="s">
        <v>823</v>
      </c>
      <c r="B133" s="63" t="s">
        <v>853</v>
      </c>
      <c r="C133" s="66" t="n">
        <f aca="false">SUM(E133:P133)</f>
        <v>96924.9634825672</v>
      </c>
      <c r="D133" s="66" t="n">
        <f aca="false">SUM(Q133:AB133)</f>
        <v>101486.89250002</v>
      </c>
      <c r="E133" s="67" t="n">
        <f aca="false">IF(E$5="A",Inputs_Actuals!E85,(E19*Contract_Register!$K$17+E57*Contract_Register!$L$17)*E95)</f>
        <v>7930</v>
      </c>
      <c r="F133" s="67" t="n">
        <f aca="false">IF(F$5="A",Inputs_Actuals!F85,(F19*Contract_Register!$K$17+F57*Contract_Register!$L$17)*F95)</f>
        <v>7967</v>
      </c>
      <c r="G133" s="67" t="n">
        <f aca="false">IF(G$5="A",Inputs_Actuals!G85,(G19*Contract_Register!$K$17+G57*Contract_Register!$L$17)*G95)</f>
        <v>7967</v>
      </c>
      <c r="H133" s="67" t="n">
        <f aca="false">IF(H$5="A",Inputs_Actuals!H85,(H19*Contract_Register!$K$17+H57*Contract_Register!$L$17)*H95)</f>
        <v>7967</v>
      </c>
      <c r="I133" s="67" t="n">
        <f aca="false">IF(I$5="A",Inputs_Actuals!I85,(I19*Contract_Register!$K$17+I57*Contract_Register!$L$17)*I95)</f>
        <v>7967</v>
      </c>
      <c r="J133" s="67" t="n">
        <f aca="false">IF(J$5="A",Inputs_Actuals!J85,(J19*Contract_Register!$K$17+J57*Contract_Register!$L$17)*J95)</f>
        <v>7967</v>
      </c>
      <c r="K133" s="67" t="n">
        <f aca="false">IF(K$5="A",Inputs_Actuals!K85,(K19*Contract_Register!$K$17+K57*Contract_Register!$L$17)*K95)</f>
        <v>7967</v>
      </c>
      <c r="L133" s="67" t="n">
        <f aca="false">IF(L$5="A",Inputs_Actuals!L85,(L19*Contract_Register!$K$17+L57*Contract_Register!$L$17)*L95)</f>
        <v>8212.1</v>
      </c>
      <c r="M133" s="67" t="n">
        <f aca="false">IF(M$5="A",Inputs_Actuals!M85,(M19*Contract_Register!$K$17+M57*Contract_Register!$L$17)*M95)</f>
        <v>8225.32308155922</v>
      </c>
      <c r="N133" s="67" t="n">
        <f aca="false">IF(N$5="A",Inputs_Actuals!N85,(N19*Contract_Register!$K$17+N57*Contract_Register!$L$17)*N95)</f>
        <v>8238.56940816312</v>
      </c>
      <c r="O133" s="67" t="n">
        <f aca="false">IF(O$5="A",Inputs_Actuals!O85,(O19*Contract_Register!$K$17+O57*Contract_Register!$L$17)*O95)</f>
        <v>8251.83902310067</v>
      </c>
      <c r="P133" s="67" t="n">
        <f aca="false">IF(P$5="A",Inputs_Actuals!P85,(P19*Contract_Register!$K$17+P57*Contract_Register!$L$17)*P95)</f>
        <v>8265.13196974421</v>
      </c>
      <c r="Q133" s="67" t="n">
        <f aca="false">IF(Q$5="A",Inputs_Actuals!Q85,(Q19*Contract_Register!$K$17+Q57*Contract_Register!$L$17)*Q95)</f>
        <v>8278.44829154964</v>
      </c>
      <c r="R133" s="67" t="n">
        <f aca="false">IF(R$5="A",Inputs_Actuals!R85,(R19*Contract_Register!$K$17+R57*Contract_Register!$L$17)*R95)</f>
        <v>8291.78803205654</v>
      </c>
      <c r="S133" s="67" t="n">
        <f aca="false">IF(S$5="A",Inputs_Actuals!S85,(S19*Contract_Register!$K$17+S57*Contract_Register!$L$17)*S95)</f>
        <v>8305.15123488838</v>
      </c>
      <c r="T133" s="67" t="n">
        <f aca="false">IF(T$5="A",Inputs_Actuals!T85,(T19*Contract_Register!$K$17+T57*Contract_Register!$L$17)*T95)</f>
        <v>8318.53794375266</v>
      </c>
      <c r="U133" s="67" t="n">
        <f aca="false">IF(U$5="A",Inputs_Actuals!U85,(U19*Contract_Register!$K$17+U57*Contract_Register!$L$17)*U95)</f>
        <v>8331.94820244105</v>
      </c>
      <c r="V133" s="67" t="n">
        <f aca="false">IF(V$5="A",Inputs_Actuals!V85,(V19*Contract_Register!$K$17+V57*Contract_Register!$L$17)*V95)</f>
        <v>8345.38205482962</v>
      </c>
      <c r="W133" s="67" t="n">
        <f aca="false">IF(W$5="A",Inputs_Actuals!W85,(W19*Contract_Register!$K$17+W57*Contract_Register!$L$17)*W95)</f>
        <v>8358.83954487896</v>
      </c>
      <c r="X133" s="67" t="n">
        <f aca="false">IF(X$5="A",Inputs_Actuals!X85,(X19*Contract_Register!$K$17+X57*Contract_Register!$L$17)*X95)</f>
        <v>8623.49033813336</v>
      </c>
      <c r="Y133" s="67" t="n">
        <f aca="false">IF(Y$5="A",Inputs_Actuals!Y85,(Y19*Contract_Register!$K$17+Y57*Contract_Register!$L$17)*Y95)</f>
        <v>8637.40038265266</v>
      </c>
      <c r="Z133" s="67" t="n">
        <f aca="false">IF(Z$5="A",Inputs_Actuals!Z85,(Z19*Contract_Register!$K$17+Z57*Contract_Register!$L$17)*Z95)</f>
        <v>8651.33491032484</v>
      </c>
      <c r="AA133" s="67" t="n">
        <f aca="false">IF(AA$5="A",Inputs_Actuals!AA85,(AA19*Contract_Register!$K$17+AA57*Contract_Register!$L$17)*AA95)</f>
        <v>8665.29396677926</v>
      </c>
      <c r="AB133" s="67" t="n">
        <f aca="false">IF(AB$5="A",Inputs_Actuals!AB85,(AB19*Contract_Register!$K$17+AB57*Contract_Register!$L$17)*AB95)</f>
        <v>8679.27759773323</v>
      </c>
    </row>
    <row r="134" customFormat="false" ht="15" hidden="false" customHeight="false" outlineLevel="0" collapsed="false">
      <c r="A134" s="27" t="s">
        <v>824</v>
      </c>
      <c r="B134" s="63" t="s">
        <v>853</v>
      </c>
      <c r="C134" s="66" t="n">
        <f aca="false">SUM(E134:P134)</f>
        <v>80286.7769304262</v>
      </c>
      <c r="D134" s="66" t="n">
        <f aca="false">SUM(Q134:AB134)</f>
        <v>78633.3506544037</v>
      </c>
      <c r="E134" s="67" t="n">
        <f aca="false">IF(E$5="A",Inputs_Actuals!E86,(E20*Contract_Register!$K$18+E58*Contract_Register!$L$18)*E96)</f>
        <v>6706</v>
      </c>
      <c r="F134" s="67" t="n">
        <f aca="false">IF(F$5="A",Inputs_Actuals!F86,(F20*Contract_Register!$K$18+F58*Contract_Register!$L$18)*F96)</f>
        <v>6706</v>
      </c>
      <c r="G134" s="67" t="n">
        <f aca="false">IF(G$5="A",Inputs_Actuals!G86,(G20*Contract_Register!$K$18+G58*Contract_Register!$L$18)*G96)</f>
        <v>6747</v>
      </c>
      <c r="H134" s="67" t="n">
        <f aca="false">IF(H$5="A",Inputs_Actuals!H86,(H20*Contract_Register!$K$18+H58*Contract_Register!$L$18)*H96)</f>
        <v>6706</v>
      </c>
      <c r="I134" s="67" t="n">
        <f aca="false">IF(I$5="A",Inputs_Actuals!I86,(I20*Contract_Register!$K$18+I58*Contract_Register!$L$18)*I96)</f>
        <v>6706</v>
      </c>
      <c r="J134" s="67" t="n">
        <f aca="false">IF(J$5="A",Inputs_Actuals!J86,(J20*Contract_Register!$K$18+J58*Contract_Register!$L$18)*J96)</f>
        <v>6747</v>
      </c>
      <c r="K134" s="67" t="n">
        <f aca="false">IF(K$5="A",Inputs_Actuals!K86,(K20*Contract_Register!$K$18+K58*Contract_Register!$L$18)*K96)</f>
        <v>6747</v>
      </c>
      <c r="L134" s="67" t="n">
        <f aca="false">IF(L$5="A",Inputs_Actuals!L86,(L20*Contract_Register!$K$18+L58*Contract_Register!$L$18)*L96)</f>
        <v>6747</v>
      </c>
      <c r="M134" s="67" t="n">
        <f aca="false">IF(M$5="A",Inputs_Actuals!M86,(M20*Contract_Register!$K$18+M58*Contract_Register!$L$18)*M96)</f>
        <v>6752.649</v>
      </c>
      <c r="N134" s="67" t="n">
        <f aca="false">IF(N$5="A",Inputs_Actuals!N86,(N20*Contract_Register!$K$18+N58*Contract_Register!$L$18)*N96)</f>
        <v>6758.3031</v>
      </c>
      <c r="O134" s="67" t="n">
        <f aca="false">IF(O$5="A",Inputs_Actuals!O86,(O20*Contract_Register!$K$18+O58*Contract_Register!$L$18)*O96)</f>
        <v>6479.19949179235</v>
      </c>
      <c r="P134" s="67" t="n">
        <f aca="false">IF(P$5="A",Inputs_Actuals!P86,(P20*Contract_Register!$K$18+P58*Contract_Register!$L$18)*P96)</f>
        <v>6484.62533863388</v>
      </c>
      <c r="Q134" s="67" t="n">
        <f aca="false">IF(Q$5="A",Inputs_Actuals!Q86,(Q20*Contract_Register!$K$18+Q58*Contract_Register!$L$18)*Q96)</f>
        <v>6490.05608464592</v>
      </c>
      <c r="R134" s="67" t="n">
        <f aca="false">IF(R$5="A",Inputs_Actuals!R86,(R20*Contract_Register!$K$18+R58*Contract_Register!$L$18)*R96)</f>
        <v>6495.49173446432</v>
      </c>
      <c r="S134" s="67" t="n">
        <f aca="false">IF(S$5="A",Inputs_Actuals!S86,(S20*Contract_Register!$K$18+S58*Contract_Register!$L$18)*S96)</f>
        <v>6500.9322927294</v>
      </c>
      <c r="T134" s="67" t="n">
        <f aca="false">IF(T$5="A",Inputs_Actuals!T86,(T20*Contract_Register!$K$18+T58*Contract_Register!$L$18)*T96)</f>
        <v>6506.37776408601</v>
      </c>
      <c r="U134" s="67" t="n">
        <f aca="false">IF(U$5="A",Inputs_Actuals!U86,(U20*Contract_Register!$K$18+U58*Contract_Register!$L$18)*U96)</f>
        <v>6511.82815318351</v>
      </c>
      <c r="V134" s="67" t="n">
        <f aca="false">IF(V$5="A",Inputs_Actuals!V86,(V20*Contract_Register!$K$18+V58*Contract_Register!$L$18)*V96)</f>
        <v>6517.28346467577</v>
      </c>
      <c r="W134" s="67" t="n">
        <f aca="false">IF(W$5="A",Inputs_Actuals!W86,(W20*Contract_Register!$K$18+W58*Contract_Register!$L$18)*W96)</f>
        <v>6522.74370322119</v>
      </c>
      <c r="X134" s="67" t="n">
        <f aca="false">IF(X$5="A",Inputs_Actuals!X86,(X20*Contract_Register!$K$18+X58*Contract_Register!$L$18)*X96)</f>
        <v>6528.2088734827</v>
      </c>
      <c r="Y134" s="67" t="n">
        <f aca="false">IF(Y$5="A",Inputs_Actuals!Y86,(Y20*Contract_Register!$K$18+Y58*Contract_Register!$L$18)*Y96)</f>
        <v>6533.67898012776</v>
      </c>
      <c r="Z134" s="67" t="n">
        <f aca="false">IF(Z$5="A",Inputs_Actuals!Z86,(Z20*Contract_Register!$K$18+Z58*Contract_Register!$L$18)*Z96)</f>
        <v>6539.15402782834</v>
      </c>
      <c r="AA134" s="67" t="n">
        <f aca="false">IF(AA$5="A",Inputs_Actuals!AA86,(AA20*Contract_Register!$K$18+AA58*Contract_Register!$L$18)*AA96)</f>
        <v>6740.97304189881</v>
      </c>
      <c r="AB134" s="67" t="n">
        <f aca="false">IF(AB$5="A",Inputs_Actuals!AB86,(AB20*Contract_Register!$K$18+AB58*Contract_Register!$L$18)*AB96)</f>
        <v>6746.62253405996</v>
      </c>
    </row>
    <row r="135" customFormat="false" ht="15" hidden="false" customHeight="false" outlineLevel="0" collapsed="false">
      <c r="A135" s="27" t="s">
        <v>825</v>
      </c>
      <c r="B135" s="63" t="s">
        <v>853</v>
      </c>
      <c r="C135" s="66" t="n">
        <f aca="false">SUM(E135:P135)</f>
        <v>53025.0603790755</v>
      </c>
      <c r="D135" s="66" t="n">
        <f aca="false">SUM(Q135:AB135)</f>
        <v>56155.7518184082</v>
      </c>
      <c r="E135" s="67" t="n">
        <f aca="false">IF(E$5="A",Inputs_Actuals!E87,(E21*Contract_Register!$K$19+E59*Contract_Register!$L$19)*E97)</f>
        <v>4280</v>
      </c>
      <c r="F135" s="67" t="n">
        <f aca="false">IF(F$5="A",Inputs_Actuals!F87,(F21*Contract_Register!$K$19+F59*Contract_Register!$L$19)*F97)</f>
        <v>4280</v>
      </c>
      <c r="G135" s="67" t="n">
        <f aca="false">IF(G$5="A",Inputs_Actuals!G87,(G21*Contract_Register!$K$19+G59*Contract_Register!$L$19)*G97)</f>
        <v>4391.28</v>
      </c>
      <c r="H135" s="67" t="n">
        <f aca="false">IF(H$5="A",Inputs_Actuals!H87,(H21*Contract_Register!$K$19+H59*Contract_Register!$L$19)*H97)</f>
        <v>4439.5</v>
      </c>
      <c r="I135" s="67" t="n">
        <f aca="false">IF(I$5="A",Inputs_Actuals!I87,(I21*Contract_Register!$K$19+I59*Contract_Register!$L$19)*I97)</f>
        <v>4439.5</v>
      </c>
      <c r="J135" s="67" t="n">
        <f aca="false">IF(J$5="A",Inputs_Actuals!J87,(J21*Contract_Register!$K$19+J59*Contract_Register!$L$19)*J97)</f>
        <v>4439.5</v>
      </c>
      <c r="K135" s="67" t="n">
        <f aca="false">IF(K$5="A",Inputs_Actuals!K87,(K21*Contract_Register!$K$19+K59*Contract_Register!$L$19)*K97)</f>
        <v>4439.5</v>
      </c>
      <c r="L135" s="67" t="n">
        <f aca="false">IF(L$5="A",Inputs_Actuals!L87,(L21*Contract_Register!$K$19+L59*Contract_Register!$L$19)*L97)</f>
        <v>4439.5</v>
      </c>
      <c r="M135" s="67" t="n">
        <f aca="false">IF(M$5="A",Inputs_Actuals!M87,(M21*Contract_Register!$K$19+M59*Contract_Register!$L$19)*M97)</f>
        <v>4451.29489068639</v>
      </c>
      <c r="N135" s="67" t="n">
        <f aca="false">IF(N$5="A",Inputs_Actuals!N87,(N21*Contract_Register!$K$19+N59*Contract_Register!$L$19)*N97)</f>
        <v>4463.12288063086</v>
      </c>
      <c r="O135" s="67" t="n">
        <f aca="false">IF(O$5="A",Inputs_Actuals!O87,(O21*Contract_Register!$K$19+O59*Contract_Register!$L$19)*O97)</f>
        <v>4474.98406570308</v>
      </c>
      <c r="P135" s="67" t="n">
        <f aca="false">IF(P$5="A",Inputs_Actuals!P87,(P21*Contract_Register!$K$19+P59*Contract_Register!$L$19)*P97)</f>
        <v>4486.87854205516</v>
      </c>
      <c r="Q135" s="67" t="n">
        <f aca="false">IF(Q$5="A",Inputs_Actuals!Q87,(Q21*Contract_Register!$K$19+Q59*Contract_Register!$L$19)*Q97)</f>
        <v>4498.80640612253</v>
      </c>
      <c r="R135" s="67" t="n">
        <f aca="false">IF(R$5="A",Inputs_Actuals!R87,(R21*Contract_Register!$K$19+R59*Contract_Register!$L$19)*R97)</f>
        <v>4510.76775462476</v>
      </c>
      <c r="S135" s="67" t="n">
        <f aca="false">IF(S$5="A",Inputs_Actuals!S87,(S21*Contract_Register!$K$19+S59*Contract_Register!$L$19)*S97)</f>
        <v>4658.44556510342</v>
      </c>
      <c r="T135" s="67" t="n">
        <f aca="false">IF(T$5="A",Inputs_Actuals!T87,(T21*Contract_Register!$K$19+T59*Contract_Register!$L$19)*T97)</f>
        <v>4670.83503203508</v>
      </c>
      <c r="U135" s="67" t="n">
        <f aca="false">IF(U$5="A",Inputs_Actuals!U87,(U21*Contract_Register!$K$19+U59*Contract_Register!$L$19)*U97)</f>
        <v>4683.25928856288</v>
      </c>
      <c r="V135" s="67" t="n">
        <f aca="false">IF(V$5="A",Inputs_Actuals!V87,(V21*Contract_Register!$K$19+V59*Contract_Register!$L$19)*V97)</f>
        <v>4695.71843548741</v>
      </c>
      <c r="W135" s="67" t="n">
        <f aca="false">IF(W$5="A",Inputs_Actuals!W87,(W21*Contract_Register!$K$19+W59*Contract_Register!$L$19)*W97)</f>
        <v>4708.21257390631</v>
      </c>
      <c r="X135" s="67" t="n">
        <f aca="false">IF(X$5="A",Inputs_Actuals!X87,(X21*Contract_Register!$K$19+X59*Contract_Register!$L$19)*X97)</f>
        <v>4720.74180521513</v>
      </c>
      <c r="Y135" s="67" t="n">
        <f aca="false">IF(Y$5="A",Inputs_Actuals!Y87,(Y21*Contract_Register!$K$19+Y59*Contract_Register!$L$19)*Y97)</f>
        <v>4733.30623110825</v>
      </c>
      <c r="Z135" s="67" t="n">
        <f aca="false">IF(Z$5="A",Inputs_Actuals!Z87,(Z21*Contract_Register!$K$19+Z59*Contract_Register!$L$19)*Z97)</f>
        <v>4745.90595357978</v>
      </c>
      <c r="AA135" s="67" t="n">
        <f aca="false">IF(AA$5="A",Inputs_Actuals!AA87,(AA21*Contract_Register!$K$19+AA59*Contract_Register!$L$19)*AA97)</f>
        <v>4758.54107492438</v>
      </c>
      <c r="AB135" s="67" t="n">
        <f aca="false">IF(AB$5="A",Inputs_Actuals!AB87,(AB21*Contract_Register!$K$19+AB59*Contract_Register!$L$19)*AB97)</f>
        <v>4771.21169773824</v>
      </c>
    </row>
    <row r="136" customFormat="false" ht="15" hidden="false" customHeight="false" outlineLevel="0" collapsed="false">
      <c r="A136" s="27" t="s">
        <v>826</v>
      </c>
      <c r="B136" s="63" t="s">
        <v>853</v>
      </c>
      <c r="C136" s="66" t="n">
        <f aca="false">SUM(E136:P136)</f>
        <v>63523.5320355736</v>
      </c>
      <c r="D136" s="66" t="n">
        <f aca="false">SUM(Q136:AB136)</f>
        <v>66629.5888529898</v>
      </c>
      <c r="E136" s="67" t="n">
        <f aca="false">IF(E$5="A",Inputs_Actuals!E88,(E22*Contract_Register!$K$20+E60*Contract_Register!$L$20)*E98)</f>
        <v>5134</v>
      </c>
      <c r="F136" s="67" t="n">
        <f aca="false">IF(F$5="A",Inputs_Actuals!F88,(F22*Contract_Register!$K$20+F60*Contract_Register!$L$20)*F98)</f>
        <v>5173</v>
      </c>
      <c r="G136" s="67" t="n">
        <f aca="false">IF(G$5="A",Inputs_Actuals!G88,(G22*Contract_Register!$K$20+G60*Contract_Register!$L$20)*G98)</f>
        <v>5173</v>
      </c>
      <c r="H136" s="67" t="n">
        <f aca="false">IF(H$5="A",Inputs_Actuals!H88,(H22*Contract_Register!$K$20+H60*Contract_Register!$L$20)*H98)</f>
        <v>5173</v>
      </c>
      <c r="I136" s="67" t="n">
        <f aca="false">IF(I$5="A",Inputs_Actuals!I88,(I22*Contract_Register!$K$20+I60*Contract_Register!$L$20)*I98)</f>
        <v>5347.51</v>
      </c>
      <c r="J136" s="67" t="n">
        <f aca="false">IF(J$5="A",Inputs_Actuals!J88,(J22*Contract_Register!$K$20+J60*Contract_Register!$L$20)*J98)</f>
        <v>5347.51</v>
      </c>
      <c r="K136" s="67" t="n">
        <f aca="false">IF(K$5="A",Inputs_Actuals!K88,(K22*Contract_Register!$K$20+K60*Contract_Register!$L$20)*K98)</f>
        <v>5347.51</v>
      </c>
      <c r="L136" s="67" t="n">
        <f aca="false">IF(L$5="A",Inputs_Actuals!L88,(L22*Contract_Register!$K$20+L60*Contract_Register!$L$20)*L98)</f>
        <v>5347.51</v>
      </c>
      <c r="M136" s="67" t="n">
        <f aca="false">IF(M$5="A",Inputs_Actuals!M88,(M22*Contract_Register!$K$20+M60*Contract_Register!$L$20)*M98)</f>
        <v>5356.53879662318</v>
      </c>
      <c r="N136" s="67" t="n">
        <f aca="false">IF(N$5="A",Inputs_Actuals!N88,(N22*Contract_Register!$K$20+N60*Contract_Register!$L$20)*N98)</f>
        <v>5365.58398461622</v>
      </c>
      <c r="O136" s="67" t="n">
        <f aca="false">IF(O$5="A",Inputs_Actuals!O88,(O22*Contract_Register!$K$20+O60*Contract_Register!$L$20)*O98)</f>
        <v>5374.64559509566</v>
      </c>
      <c r="P136" s="67" t="n">
        <f aca="false">IF(P$5="A",Inputs_Actuals!P88,(P22*Contract_Register!$K$20+P60*Contract_Register!$L$20)*P98)</f>
        <v>5383.72365923856</v>
      </c>
      <c r="Q136" s="67" t="n">
        <f aca="false">IF(Q$5="A",Inputs_Actuals!Q88,(Q22*Contract_Register!$K$20+Q60*Contract_Register!$L$20)*Q98)</f>
        <v>5392.8182082827</v>
      </c>
      <c r="R136" s="67" t="n">
        <f aca="false">IF(R$5="A",Inputs_Actuals!R88,(R22*Contract_Register!$K$20+R60*Contract_Register!$L$20)*R98)</f>
        <v>5401.92927352665</v>
      </c>
      <c r="S136" s="67" t="n">
        <f aca="false">IF(S$5="A",Inputs_Actuals!S88,(S22*Contract_Register!$K$20+S60*Contract_Register!$L$20)*S98)</f>
        <v>5411.05688632992</v>
      </c>
      <c r="T136" s="67" t="n">
        <f aca="false">IF(T$5="A",Inputs_Actuals!T88,(T22*Contract_Register!$K$20+T60*Contract_Register!$L$20)*T98)</f>
        <v>5420.20107811306</v>
      </c>
      <c r="U136" s="67" t="n">
        <f aca="false">IF(U$5="A",Inputs_Actuals!U88,(U22*Contract_Register!$K$20+U60*Contract_Register!$L$20)*U98)</f>
        <v>5592.2427367685</v>
      </c>
      <c r="V136" s="67" t="n">
        <f aca="false">IF(V$5="A",Inputs_Actuals!V88,(V22*Contract_Register!$K$20+V60*Contract_Register!$L$20)*V98)</f>
        <v>5601.69550434526</v>
      </c>
      <c r="W136" s="67" t="n">
        <f aca="false">IF(W$5="A",Inputs_Actuals!W88,(W22*Contract_Register!$K$20+W60*Contract_Register!$L$20)*W98)</f>
        <v>5611.16544573928</v>
      </c>
      <c r="X136" s="67" t="n">
        <f aca="false">IF(X$5="A",Inputs_Actuals!X88,(X22*Contract_Register!$K$20+X60*Contract_Register!$L$20)*X98)</f>
        <v>5620.65259356648</v>
      </c>
      <c r="Y136" s="67" t="n">
        <f aca="false">IF(Y$5="A",Inputs_Actuals!Y88,(Y22*Contract_Register!$K$20+Y60*Contract_Register!$L$20)*Y98)</f>
        <v>5630.15698050626</v>
      </c>
      <c r="Z136" s="67" t="n">
        <f aca="false">IF(Z$5="A",Inputs_Actuals!Z88,(Z22*Contract_Register!$K$20+Z60*Contract_Register!$L$20)*Z98)</f>
        <v>5639.67863930168</v>
      </c>
      <c r="AA136" s="67" t="n">
        <f aca="false">IF(AA$5="A",Inputs_Actuals!AA88,(AA22*Contract_Register!$K$20+AA60*Contract_Register!$L$20)*AA98)</f>
        <v>5649.21760275952</v>
      </c>
      <c r="AB136" s="67" t="n">
        <f aca="false">IF(AB$5="A",Inputs_Actuals!AB88,(AB22*Contract_Register!$K$20+AB60*Contract_Register!$L$20)*AB98)</f>
        <v>5658.77390375046</v>
      </c>
    </row>
    <row r="137" customFormat="false" ht="15" hidden="false" customHeight="false" outlineLevel="0" collapsed="false">
      <c r="A137" s="27" t="s">
        <v>827</v>
      </c>
      <c r="B137" s="63" t="s">
        <v>853</v>
      </c>
      <c r="C137" s="66" t="n">
        <f aca="false">SUM(E137:P137)</f>
        <v>63346.9229043283</v>
      </c>
      <c r="D137" s="66" t="n">
        <f aca="false">SUM(Q137:AB137)</f>
        <v>64665.0574616376</v>
      </c>
      <c r="E137" s="67" t="n">
        <f aca="false">IF(E$5="A",Inputs_Actuals!E89,(E23*Contract_Register!$K$21+E61*Contract_Register!$L$21)*E99)</f>
        <v>5075</v>
      </c>
      <c r="F137" s="67" t="n">
        <f aca="false">IF(F$5="A",Inputs_Actuals!F89,(F23*Contract_Register!$K$21+F61*Contract_Register!$L$21)*F99)</f>
        <v>5124</v>
      </c>
      <c r="G137" s="67" t="n">
        <f aca="false">IF(G$5="A",Inputs_Actuals!G89,(G23*Contract_Register!$K$21+G61*Contract_Register!$L$21)*G99)</f>
        <v>5124</v>
      </c>
      <c r="H137" s="67" t="n">
        <f aca="false">IF(H$5="A",Inputs_Actuals!H89,(H23*Contract_Register!$K$21+H61*Contract_Register!$L$21)*H99)</f>
        <v>5173</v>
      </c>
      <c r="I137" s="67" t="n">
        <f aca="false">IF(I$5="A",Inputs_Actuals!I89,(I23*Contract_Register!$K$21+I61*Contract_Register!$L$21)*I99)</f>
        <v>5307.5</v>
      </c>
      <c r="J137" s="67" t="n">
        <f aca="false">IF(J$5="A",Inputs_Actuals!J89,(J23*Contract_Register!$K$21+J61*Contract_Register!$L$21)*J99)</f>
        <v>5307.5</v>
      </c>
      <c r="K137" s="67" t="n">
        <f aca="false">IF(K$5="A",Inputs_Actuals!K89,(K23*Contract_Register!$K$21+K61*Contract_Register!$L$21)*K99)</f>
        <v>5307.5</v>
      </c>
      <c r="L137" s="67" t="n">
        <f aca="false">IF(L$5="A",Inputs_Actuals!L89,(L23*Contract_Register!$K$21+L61*Contract_Register!$L$21)*L99)</f>
        <v>5357.77</v>
      </c>
      <c r="M137" s="67" t="n">
        <f aca="false">IF(M$5="A",Inputs_Actuals!M89,(M23*Contract_Register!$K$21+M61*Contract_Register!$L$21)*M99)</f>
        <v>5371.68871080429</v>
      </c>
      <c r="N137" s="67" t="n">
        <f aca="false">IF(N$5="A",Inputs_Actuals!N89,(N23*Contract_Register!$K$21+N61*Contract_Register!$L$21)*N99)</f>
        <v>5385.6459458422</v>
      </c>
      <c r="O137" s="67" t="n">
        <f aca="false">IF(O$5="A",Inputs_Actuals!O89,(O23*Contract_Register!$K$21+O61*Contract_Register!$L$21)*O99)</f>
        <v>5399.64181583858</v>
      </c>
      <c r="P137" s="67" t="n">
        <f aca="false">IF(P$5="A",Inputs_Actuals!P89,(P23*Contract_Register!$K$21+P61*Contract_Register!$L$21)*P99)</f>
        <v>5413.67643184319</v>
      </c>
      <c r="Q137" s="67" t="n">
        <f aca="false">IF(Q$5="A",Inputs_Actuals!Q89,(Q23*Contract_Register!$K$21+Q61*Contract_Register!$L$21)*Q99)</f>
        <v>5427.74990523164</v>
      </c>
      <c r="R137" s="67" t="n">
        <f aca="false">IF(R$5="A",Inputs_Actuals!R89,(R23*Contract_Register!$K$21+R61*Contract_Register!$L$21)*R99)</f>
        <v>5441.86234770641</v>
      </c>
      <c r="S137" s="67" t="n">
        <f aca="false">IF(S$5="A",Inputs_Actuals!S89,(S23*Contract_Register!$K$21+S61*Contract_Register!$L$21)*S99)</f>
        <v>5456.01387129773</v>
      </c>
      <c r="T137" s="67" t="n">
        <f aca="false">IF(T$5="A",Inputs_Actuals!T89,(T23*Contract_Register!$K$21+T61*Contract_Register!$L$21)*T99)</f>
        <v>5470.20458836465</v>
      </c>
      <c r="U137" s="67" t="n">
        <f aca="false">IF(U$5="A",Inputs_Actuals!U89,(U23*Contract_Register!$K$21+U61*Contract_Register!$L$21)*U99)</f>
        <v>5310.0295909472</v>
      </c>
      <c r="V137" s="67" t="n">
        <f aca="false">IF(V$5="A",Inputs_Actuals!V89,(V23*Contract_Register!$K$21+V61*Contract_Register!$L$21)*V99)</f>
        <v>5323.84526509359</v>
      </c>
      <c r="W137" s="67" t="n">
        <f aca="false">IF(W$5="A",Inputs_Actuals!W89,(W23*Contract_Register!$K$21+W61*Contract_Register!$L$21)*W99)</f>
        <v>5337.69921464048</v>
      </c>
      <c r="X137" s="67" t="n">
        <f aca="false">IF(X$5="A",Inputs_Actuals!X89,(X23*Contract_Register!$K$21+X61*Contract_Register!$L$21)*X99)</f>
        <v>5351.59154965664</v>
      </c>
      <c r="Y137" s="67" t="n">
        <f aca="false">IF(Y$5="A",Inputs_Actuals!Y89,(Y23*Contract_Register!$K$21+Y61*Contract_Register!$L$21)*Y99)</f>
        <v>5365.52238053391</v>
      </c>
      <c r="Z137" s="67" t="n">
        <f aca="false">IF(Z$5="A",Inputs_Actuals!Z89,(Z23*Contract_Register!$K$21+Z61*Contract_Register!$L$21)*Z99)</f>
        <v>5379.49181798815</v>
      </c>
      <c r="AA137" s="67" t="n">
        <f aca="false">IF(AA$5="A",Inputs_Actuals!AA89,(AA23*Contract_Register!$K$21+AA61*Contract_Register!$L$21)*AA99)</f>
        <v>5393.49997306022</v>
      </c>
      <c r="AB137" s="67" t="n">
        <f aca="false">IF(AB$5="A",Inputs_Actuals!AB89,(AB23*Contract_Register!$K$21+AB61*Contract_Register!$L$21)*AB99)</f>
        <v>5407.54695711694</v>
      </c>
    </row>
    <row r="138" customFormat="false" ht="15" hidden="false" customHeight="false" outlineLevel="0" collapsed="false">
      <c r="A138" s="27" t="s">
        <v>828</v>
      </c>
      <c r="B138" s="63" t="s">
        <v>853</v>
      </c>
      <c r="C138" s="66" t="n">
        <f aca="false">SUM(E138:P138)</f>
        <v>103900.021832741</v>
      </c>
      <c r="D138" s="66" t="n">
        <f aca="false">SUM(Q138:AB138)</f>
        <v>101658.110248298</v>
      </c>
      <c r="E138" s="67" t="n">
        <f aca="false">IF(E$5="A",Inputs_Actuals!E90,(E24*Contract_Register!$K$22+E62*Contract_Register!$L$22)*E100)</f>
        <v>8724</v>
      </c>
      <c r="F138" s="67" t="n">
        <f aca="false">IF(F$5="A",Inputs_Actuals!F90,(F24*Contract_Register!$K$22+F62*Contract_Register!$L$22)*F100)</f>
        <v>8724</v>
      </c>
      <c r="G138" s="67" t="n">
        <f aca="false">IF(G$5="A",Inputs_Actuals!G90,(G24*Contract_Register!$K$22+G62*Contract_Register!$L$22)*G100)</f>
        <v>8724</v>
      </c>
      <c r="H138" s="67" t="n">
        <f aca="false">IF(H$5="A",Inputs_Actuals!H90,(H24*Contract_Register!$K$22+H62*Contract_Register!$L$22)*H100)</f>
        <v>8760</v>
      </c>
      <c r="I138" s="67" t="n">
        <f aca="false">IF(I$5="A",Inputs_Actuals!I90,(I24*Contract_Register!$K$22+I62*Contract_Register!$L$22)*I100)</f>
        <v>8724</v>
      </c>
      <c r="J138" s="67" t="n">
        <f aca="false">IF(J$5="A",Inputs_Actuals!J90,(J24*Contract_Register!$K$22+J62*Contract_Register!$L$22)*J100)</f>
        <v>8817</v>
      </c>
      <c r="K138" s="67" t="n">
        <f aca="false">IF(K$5="A",Inputs_Actuals!K90,(K24*Contract_Register!$K$22+K62*Contract_Register!$L$22)*K100)</f>
        <v>8760</v>
      </c>
      <c r="L138" s="67" t="n">
        <f aca="false">IF(L$5="A",Inputs_Actuals!L90,(L24*Contract_Register!$K$22+L62*Contract_Register!$L$22)*L100)</f>
        <v>8796</v>
      </c>
      <c r="M138" s="67" t="n">
        <f aca="false">IF(M$5="A",Inputs_Actuals!M90,(M24*Contract_Register!$K$22+M62*Contract_Register!$L$22)*M100)</f>
        <v>8803.314</v>
      </c>
      <c r="N138" s="67" t="n">
        <f aca="false">IF(N$5="A",Inputs_Actuals!N90,(N24*Contract_Register!$K$22+N62*Contract_Register!$L$22)*N100)</f>
        <v>8348.9573213748</v>
      </c>
      <c r="O138" s="67" t="n">
        <f aca="false">IF(O$5="A",Inputs_Actuals!O90,(O24*Contract_Register!$K$22+O62*Contract_Register!$L$22)*O100)</f>
        <v>8355.90053080189</v>
      </c>
      <c r="P138" s="67" t="n">
        <f aca="false">IF(P$5="A",Inputs_Actuals!P90,(P24*Contract_Register!$K$22+P62*Contract_Register!$L$22)*P100)</f>
        <v>8362.84998056446</v>
      </c>
      <c r="Q138" s="67" t="n">
        <f aca="false">IF(Q$5="A",Inputs_Actuals!Q90,(Q24*Contract_Register!$K$22+Q62*Contract_Register!$L$22)*Q100)</f>
        <v>8369.8056765514</v>
      </c>
      <c r="R138" s="67" t="n">
        <f aca="false">IF(R$5="A",Inputs_Actuals!R90,(R24*Contract_Register!$K$22+R62*Contract_Register!$L$22)*R100)</f>
        <v>8376.76762465734</v>
      </c>
      <c r="S138" s="67" t="n">
        <f aca="false">IF(S$5="A",Inputs_Actuals!S90,(S24*Contract_Register!$K$22+S62*Contract_Register!$L$22)*S100)</f>
        <v>8383.7358307826</v>
      </c>
      <c r="T138" s="67" t="n">
        <f aca="false">IF(T$5="A",Inputs_Actuals!T90,(T24*Contract_Register!$K$22+T62*Contract_Register!$L$22)*T100)</f>
        <v>8390.71030083323</v>
      </c>
      <c r="U138" s="67" t="n">
        <f aca="false">IF(U$5="A",Inputs_Actuals!U90,(U24*Contract_Register!$K$22+U62*Contract_Register!$L$22)*U100)</f>
        <v>8397.69104072103</v>
      </c>
      <c r="V138" s="67" t="n">
        <f aca="false">IF(V$5="A",Inputs_Actuals!V90,(V24*Contract_Register!$K$22+V62*Contract_Register!$L$22)*V100)</f>
        <v>8404.6780563635</v>
      </c>
      <c r="W138" s="67" t="n">
        <f aca="false">IF(W$5="A",Inputs_Actuals!W90,(W24*Contract_Register!$K$22+W62*Contract_Register!$L$22)*W100)</f>
        <v>8411.67135368392</v>
      </c>
      <c r="X138" s="67" t="n">
        <f aca="false">IF(X$5="A",Inputs_Actuals!X90,(X24*Contract_Register!$K$22+X62*Contract_Register!$L$22)*X100)</f>
        <v>8418.67093861129</v>
      </c>
      <c r="Y138" s="67" t="n">
        <f aca="false">IF(Y$5="A",Inputs_Actuals!Y90,(Y24*Contract_Register!$K$22+Y62*Contract_Register!$L$22)*Y100)</f>
        <v>8425.67681708037</v>
      </c>
      <c r="Z138" s="67" t="n">
        <f aca="false">IF(Z$5="A",Inputs_Actuals!Z90,(Z24*Contract_Register!$K$22+Z62*Contract_Register!$L$22)*Z100)</f>
        <v>8685.66966488264</v>
      </c>
      <c r="AA138" s="67" t="n">
        <f aca="false">IF(AA$5="A",Inputs_Actuals!AA90,(AA24*Contract_Register!$K$22+AA62*Contract_Register!$L$22)*AA100)</f>
        <v>8692.89870276387</v>
      </c>
      <c r="AB138" s="67" t="n">
        <f aca="false">IF(AB$5="A",Inputs_Actuals!AB90,(AB24*Contract_Register!$K$22+AB62*Contract_Register!$L$22)*AB100)</f>
        <v>8700.1342413671</v>
      </c>
    </row>
    <row r="139" customFormat="false" ht="15" hidden="false" customHeight="false" outlineLevel="0" collapsed="false">
      <c r="A139" s="27" t="s">
        <v>829</v>
      </c>
      <c r="B139" s="63" t="s">
        <v>853</v>
      </c>
      <c r="C139" s="66" t="n">
        <f aca="false">SUM(E139:P139)</f>
        <v>101489.42403782</v>
      </c>
      <c r="D139" s="66" t="n">
        <f aca="false">SUM(Q139:AB139)</f>
        <v>106081.880097366</v>
      </c>
      <c r="E139" s="67" t="n">
        <f aca="false">IF(E$5="A",Inputs_Actuals!E91,(E25*Contract_Register!$K$23+E63*Contract_Register!$L$23)*E101)</f>
        <v>8192</v>
      </c>
      <c r="F139" s="67" t="n">
        <f aca="false">IF(F$5="A",Inputs_Actuals!F91,(F25*Contract_Register!$K$23+F63*Contract_Register!$L$23)*F101)</f>
        <v>8192</v>
      </c>
      <c r="G139" s="67" t="n">
        <f aca="false">IF(G$5="A",Inputs_Actuals!G91,(G25*Contract_Register!$K$23+G63*Contract_Register!$L$23)*G101)</f>
        <v>8238</v>
      </c>
      <c r="H139" s="67" t="n">
        <f aca="false">IF(H$5="A",Inputs_Actuals!H91,(H25*Contract_Register!$K$23+H63*Contract_Register!$L$23)*H101)</f>
        <v>8352</v>
      </c>
      <c r="I139" s="67" t="n">
        <f aca="false">IF(I$5="A",Inputs_Actuals!I91,(I25*Contract_Register!$K$23+I63*Contract_Register!$L$23)*I101)</f>
        <v>8352</v>
      </c>
      <c r="J139" s="67" t="n">
        <f aca="false">IF(J$5="A",Inputs_Actuals!J91,(J25*Contract_Register!$K$23+J63*Contract_Register!$L$23)*J101)</f>
        <v>8398</v>
      </c>
      <c r="K139" s="67" t="n">
        <f aca="false">IF(K$5="A",Inputs_Actuals!K91,(K25*Contract_Register!$K$23+K63*Contract_Register!$L$23)*K101)</f>
        <v>8398</v>
      </c>
      <c r="L139" s="67" t="n">
        <f aca="false">IF(L$5="A",Inputs_Actuals!L91,(L25*Contract_Register!$K$23+L63*Contract_Register!$L$23)*L101)</f>
        <v>8616.35</v>
      </c>
      <c r="M139" s="67" t="n">
        <f aca="false">IF(M$5="A",Inputs_Actuals!M91,(M25*Contract_Register!$K$23+M63*Contract_Register!$L$23)*M101)</f>
        <v>8644.81535060729</v>
      </c>
      <c r="N139" s="67" t="n">
        <f aca="false">IF(N$5="A",Inputs_Actuals!N91,(N25*Contract_Register!$K$23+N63*Contract_Register!$L$23)*N101)</f>
        <v>8673.38256251822</v>
      </c>
      <c r="O139" s="67" t="n">
        <f aca="false">IF(O$5="A",Inputs_Actuals!O91,(O25*Contract_Register!$K$23+O63*Contract_Register!$L$23)*O101)</f>
        <v>8702.05201917781</v>
      </c>
      <c r="P139" s="67" t="n">
        <f aca="false">IF(P$5="A",Inputs_Actuals!P91,(P25*Contract_Register!$K$23+P63*Contract_Register!$L$23)*P101)</f>
        <v>8730.82410551686</v>
      </c>
      <c r="Q139" s="67" t="n">
        <f aca="false">IF(Q$5="A",Inputs_Actuals!Q91,(Q25*Contract_Register!$K$23+Q63*Contract_Register!$L$23)*Q101)</f>
        <v>8759.69920795779</v>
      </c>
      <c r="R139" s="67" t="n">
        <f aca="false">IF(R$5="A",Inputs_Actuals!R91,(R25*Contract_Register!$K$23+R63*Contract_Register!$L$23)*R101)</f>
        <v>8788.67771442052</v>
      </c>
      <c r="S139" s="67" t="n">
        <f aca="false">IF(S$5="A",Inputs_Actuals!S91,(S25*Contract_Register!$K$23+S63*Contract_Register!$L$23)*S101)</f>
        <v>8817.76001432837</v>
      </c>
      <c r="T139" s="67" t="n">
        <f aca="false">IF(T$5="A",Inputs_Actuals!T91,(T25*Contract_Register!$K$23+T63*Contract_Register!$L$23)*T101)</f>
        <v>8846.94649861394</v>
      </c>
      <c r="U139" s="67" t="n">
        <f aca="false">IF(U$5="A",Inputs_Actuals!U91,(U25*Contract_Register!$K$23+U63*Contract_Register!$L$23)*U101)</f>
        <v>8876.23755972512</v>
      </c>
      <c r="V139" s="67" t="n">
        <f aca="false">IF(V$5="A",Inputs_Actuals!V91,(V25*Contract_Register!$K$23+V63*Contract_Register!$L$23)*V101)</f>
        <v>8905.63359163097</v>
      </c>
      <c r="W139" s="67" t="n">
        <f aca="false">IF(W$5="A",Inputs_Actuals!W91,(W25*Contract_Register!$K$23+W63*Contract_Register!$L$23)*W101)</f>
        <v>8935.13498982778</v>
      </c>
      <c r="X139" s="67" t="n">
        <f aca="false">IF(X$5="A",Inputs_Actuals!X91,(X25*Contract_Register!$K$23+X63*Contract_Register!$L$23)*X101)</f>
        <v>8772.00019509112</v>
      </c>
      <c r="Y139" s="67" t="n">
        <f aca="false">IF(Y$5="A",Inputs_Actuals!Y91,(Y25*Contract_Register!$K$23+Y63*Contract_Register!$L$23)*Y101)</f>
        <v>8801.07468204433</v>
      </c>
      <c r="Z139" s="67" t="n">
        <f aca="false">IF(Z$5="A",Inputs_Actuals!Z91,(Z25*Contract_Register!$K$23+Z63*Contract_Register!$L$23)*Z101)</f>
        <v>8830.25343991769</v>
      </c>
      <c r="AA139" s="67" t="n">
        <f aca="false">IF(AA$5="A",Inputs_Actuals!AA91,(AA25*Contract_Register!$K$23+AA63*Contract_Register!$L$23)*AA101)</f>
        <v>8859.53686174084</v>
      </c>
      <c r="AB139" s="67" t="n">
        <f aca="false">IF(AB$5="A",Inputs_Actuals!AB91,(AB25*Contract_Register!$K$23+AB63*Contract_Register!$L$23)*AB101)</f>
        <v>8888.9253420674</v>
      </c>
    </row>
    <row r="140" customFormat="false" ht="15" hidden="false" customHeight="false" outlineLevel="0" collapsed="false">
      <c r="A140" s="27" t="s">
        <v>830</v>
      </c>
      <c r="B140" s="63" t="s">
        <v>853</v>
      </c>
      <c r="C140" s="66" t="n">
        <f aca="false">SUM(E140:P140)</f>
        <v>40516.5337932777</v>
      </c>
      <c r="D140" s="66" t="n">
        <f aca="false">SUM(Q140:AB140)</f>
        <v>43028.7966892169</v>
      </c>
      <c r="E140" s="67" t="n">
        <f aca="false">IF(E$5="A",Inputs_Actuals!E92,(E26*Contract_Register!$K$24+E64*Contract_Register!$L$24)*E102)</f>
        <v>3290</v>
      </c>
      <c r="F140" s="67" t="n">
        <f aca="false">IF(F$5="A",Inputs_Actuals!F92,(F26*Contract_Register!$K$24+F64*Contract_Register!$L$24)*F102)</f>
        <v>3290</v>
      </c>
      <c r="G140" s="67" t="n">
        <f aca="false">IF(G$5="A",Inputs_Actuals!G92,(G26*Contract_Register!$K$24+G64*Contract_Register!$L$24)*G102)</f>
        <v>3290</v>
      </c>
      <c r="H140" s="67" t="n">
        <f aca="false">IF(H$5="A",Inputs_Actuals!H92,(H26*Contract_Register!$K$24+H64*Contract_Register!$L$24)*H102)</f>
        <v>3290</v>
      </c>
      <c r="I140" s="67" t="n">
        <f aca="false">IF(I$5="A",Inputs_Actuals!I92,(I26*Contract_Register!$K$24+I64*Contract_Register!$L$24)*I102)</f>
        <v>3290</v>
      </c>
      <c r="J140" s="67" t="n">
        <f aca="false">IF(J$5="A",Inputs_Actuals!J92,(J26*Contract_Register!$K$24+J64*Contract_Register!$L$24)*J102)</f>
        <v>3424.79</v>
      </c>
      <c r="K140" s="67" t="n">
        <f aca="false">IF(K$5="A",Inputs_Actuals!K92,(K26*Contract_Register!$K$24+K64*Contract_Register!$L$24)*K102)</f>
        <v>3424.79</v>
      </c>
      <c r="L140" s="67" t="n">
        <f aca="false">IF(L$5="A",Inputs_Actuals!L92,(L26*Contract_Register!$K$24+L64*Contract_Register!$L$24)*L102)</f>
        <v>3424.79</v>
      </c>
      <c r="M140" s="67" t="n">
        <f aca="false">IF(M$5="A",Inputs_Actuals!M92,(M26*Contract_Register!$K$24+M64*Contract_Register!$L$24)*M102)</f>
        <v>3434.06401941582</v>
      </c>
      <c r="N140" s="67" t="n">
        <f aca="false">IF(N$5="A",Inputs_Actuals!N92,(N26*Contract_Register!$K$24+N64*Contract_Register!$L$24)*N102)</f>
        <v>3443.36436036401</v>
      </c>
      <c r="O140" s="67" t="n">
        <f aca="false">IF(O$5="A",Inputs_Actuals!O92,(O26*Contract_Register!$K$24+O64*Contract_Register!$L$24)*O102)</f>
        <v>3452.69109955837</v>
      </c>
      <c r="P140" s="67" t="n">
        <f aca="false">IF(P$5="A",Inputs_Actuals!P92,(P26*Contract_Register!$K$24+P64*Contract_Register!$L$24)*P102)</f>
        <v>3462.0443139395</v>
      </c>
      <c r="Q140" s="67" t="n">
        <f aca="false">IF(Q$5="A",Inputs_Actuals!Q92,(Q26*Contract_Register!$K$24+Q64*Contract_Register!$L$24)*Q102)</f>
        <v>3471.42408067538</v>
      </c>
      <c r="R140" s="67" t="n">
        <f aca="false">IF(R$5="A",Inputs_Actuals!R92,(R26*Contract_Register!$K$24+R64*Contract_Register!$L$24)*R102)</f>
        <v>3480.83047716217</v>
      </c>
      <c r="S140" s="67" t="n">
        <f aca="false">IF(S$5="A",Inputs_Actuals!S92,(S26*Contract_Register!$K$24+S64*Contract_Register!$L$24)*S102)</f>
        <v>3490.26358102479</v>
      </c>
      <c r="T140" s="67" t="n">
        <f aca="false">IF(T$5="A",Inputs_Actuals!T92,(T26*Contract_Register!$K$24+T64*Contract_Register!$L$24)*T102)</f>
        <v>3499.72347011763</v>
      </c>
      <c r="U140" s="67" t="n">
        <f aca="false">IF(U$5="A",Inputs_Actuals!U92,(U26*Contract_Register!$K$24+U64*Contract_Register!$L$24)*U102)</f>
        <v>3509.21022252529</v>
      </c>
      <c r="V140" s="67" t="n">
        <f aca="false">IF(V$5="A",Inputs_Actuals!V92,(V26*Contract_Register!$K$24+V64*Contract_Register!$L$24)*V102)</f>
        <v>3624.28563406005</v>
      </c>
      <c r="W140" s="67" t="n">
        <f aca="false">IF(W$5="A",Inputs_Actuals!W92,(W26*Contract_Register!$K$24+W64*Contract_Register!$L$24)*W102)</f>
        <v>3634.11256970154</v>
      </c>
      <c r="X140" s="67" t="n">
        <f aca="false">IF(X$5="A",Inputs_Actuals!X92,(X26*Contract_Register!$K$24+X64*Contract_Register!$L$24)*X102)</f>
        <v>3643.96741726807</v>
      </c>
      <c r="Y140" s="67" t="n">
        <f aca="false">IF(Y$5="A",Inputs_Actuals!Y92,(Y26*Contract_Register!$K$24+Y64*Contract_Register!$L$24)*Y102)</f>
        <v>3653.85025814208</v>
      </c>
      <c r="Z140" s="67" t="n">
        <f aca="false">IF(Z$5="A",Inputs_Actuals!Z92,(Z26*Contract_Register!$K$24+Z64*Contract_Register!$L$24)*Z102)</f>
        <v>3663.76117394665</v>
      </c>
      <c r="AA140" s="67" t="n">
        <f aca="false">IF(AA$5="A",Inputs_Actuals!AA92,(AA26*Contract_Register!$K$24+AA64*Contract_Register!$L$24)*AA102)</f>
        <v>3673.70024654617</v>
      </c>
      <c r="AB140" s="67" t="n">
        <f aca="false">IF(AB$5="A",Inputs_Actuals!AB92,(AB26*Contract_Register!$K$24+AB64*Contract_Register!$L$24)*AB102)</f>
        <v>3683.66755804711</v>
      </c>
    </row>
    <row r="141" customFormat="false" ht="15" hidden="false" customHeight="false" outlineLevel="0" collapsed="false">
      <c r="A141" s="27" t="s">
        <v>831</v>
      </c>
      <c r="B141" s="63" t="s">
        <v>853</v>
      </c>
      <c r="C141" s="66" t="n">
        <f aca="false">SUM(E141:P141)</f>
        <v>96392.070471811</v>
      </c>
      <c r="D141" s="66" t="n">
        <f aca="false">SUM(Q141:AB141)</f>
        <v>101316.179338846</v>
      </c>
      <c r="E141" s="67" t="n">
        <f aca="false">IF(E$5="A",Inputs_Actuals!E93,(E27*Contract_Register!$K$25+E65*Contract_Register!$L$25)*E103)</f>
        <v>7790</v>
      </c>
      <c r="F141" s="67" t="n">
        <f aca="false">IF(F$5="A",Inputs_Actuals!F93,(F27*Contract_Register!$K$25+F65*Contract_Register!$L$25)*F103)</f>
        <v>7992.54</v>
      </c>
      <c r="G141" s="67" t="n">
        <f aca="false">IF(G$5="A",Inputs_Actuals!G93,(G27*Contract_Register!$K$25+G65*Contract_Register!$L$25)*G103)</f>
        <v>7992.54</v>
      </c>
      <c r="H141" s="67" t="n">
        <f aca="false">IF(H$5="A",Inputs_Actuals!H93,(H27*Contract_Register!$K$25+H65*Contract_Register!$L$25)*H103)</f>
        <v>7992.54</v>
      </c>
      <c r="I141" s="67" t="n">
        <f aca="false">IF(I$5="A",Inputs_Actuals!I93,(I27*Contract_Register!$K$25+I65*Contract_Register!$L$25)*I103)</f>
        <v>8031.53</v>
      </c>
      <c r="J141" s="67" t="n">
        <f aca="false">IF(J$5="A",Inputs_Actuals!J93,(J27*Contract_Register!$K$25+J65*Contract_Register!$L$25)*J103)</f>
        <v>8031.53</v>
      </c>
      <c r="K141" s="67" t="n">
        <f aca="false">IF(K$5="A",Inputs_Actuals!K93,(K27*Contract_Register!$K$25+K65*Contract_Register!$L$25)*K103)</f>
        <v>8070.52</v>
      </c>
      <c r="L141" s="67" t="n">
        <f aca="false">IF(L$5="A",Inputs_Actuals!L93,(L27*Contract_Register!$K$25+L65*Contract_Register!$L$25)*L103)</f>
        <v>8070.52</v>
      </c>
      <c r="M141" s="67" t="n">
        <f aca="false">IF(M$5="A",Inputs_Actuals!M93,(M27*Contract_Register!$K$25+M65*Contract_Register!$L$25)*M103)</f>
        <v>8084.32175884058</v>
      </c>
      <c r="N141" s="67" t="n">
        <f aca="false">IF(N$5="A",Inputs_Actuals!N93,(N27*Contract_Register!$K$25+N65*Contract_Register!$L$25)*N103)</f>
        <v>8098.14878191768</v>
      </c>
      <c r="O141" s="67" t="n">
        <f aca="false">IF(O$5="A",Inputs_Actuals!O93,(O27*Contract_Register!$K$25+O65*Contract_Register!$L$25)*O103)</f>
        <v>8112.0011174205</v>
      </c>
      <c r="P141" s="67" t="n">
        <f aca="false">IF(P$5="A",Inputs_Actuals!P93,(P27*Contract_Register!$K$25+P65*Contract_Register!$L$25)*P103)</f>
        <v>8125.87881363226</v>
      </c>
      <c r="Q141" s="67" t="n">
        <f aca="false">IF(Q$5="A",Inputs_Actuals!Q93,(Q27*Contract_Register!$K$25+Q65*Contract_Register!$L$25)*Q103)</f>
        <v>8139.78191893042</v>
      </c>
      <c r="R141" s="67" t="n">
        <f aca="false">IF(R$5="A",Inputs_Actuals!R93,(R27*Contract_Register!$K$25+R65*Contract_Register!$L$25)*R103)</f>
        <v>8398.32179624045</v>
      </c>
      <c r="S141" s="67" t="n">
        <f aca="false">IF(S$5="A",Inputs_Actuals!S93,(S27*Contract_Register!$K$25+S65*Contract_Register!$L$25)*S103)</f>
        <v>8412.69448729104</v>
      </c>
      <c r="T141" s="67" t="n">
        <f aca="false">IF(T$5="A",Inputs_Actuals!T93,(T27*Contract_Register!$K$25+T65*Contract_Register!$L$25)*T103)</f>
        <v>8427.0934997712</v>
      </c>
      <c r="U141" s="67" t="n">
        <f aca="false">IF(U$5="A",Inputs_Actuals!U93,(U27*Contract_Register!$K$25+U65*Contract_Register!$L$25)*U103)</f>
        <v>8441.51888389982</v>
      </c>
      <c r="V141" s="67" t="n">
        <f aca="false">IF(V$5="A",Inputs_Actuals!V93,(V27*Contract_Register!$K$25+V65*Contract_Register!$L$25)*V103)</f>
        <v>8455.97068999382</v>
      </c>
      <c r="W141" s="67" t="n">
        <f aca="false">IF(W$5="A",Inputs_Actuals!W93,(W27*Contract_Register!$K$25+W65*Contract_Register!$L$25)*W103)</f>
        <v>8470.44896846834</v>
      </c>
      <c r="X141" s="67" t="n">
        <f aca="false">IF(X$5="A",Inputs_Actuals!X93,(X27*Contract_Register!$K$25+X65*Contract_Register!$L$25)*X103)</f>
        <v>8484.9537698369</v>
      </c>
      <c r="Y141" s="67" t="n">
        <f aca="false">IF(Y$5="A",Inputs_Actuals!Y93,(Y27*Contract_Register!$K$25+Y65*Contract_Register!$L$25)*Y103)</f>
        <v>8499.48514471163</v>
      </c>
      <c r="Z141" s="67" t="n">
        <f aca="false">IF(Z$5="A",Inputs_Actuals!Z93,(Z27*Contract_Register!$K$25+Z65*Contract_Register!$L$25)*Z103)</f>
        <v>8514.04314380345</v>
      </c>
      <c r="AA141" s="67" t="n">
        <f aca="false">IF(AA$5="A",Inputs_Actuals!AA93,(AA27*Contract_Register!$K$25+AA65*Contract_Register!$L$25)*AA103)</f>
        <v>8528.62781792225</v>
      </c>
      <c r="AB141" s="67" t="n">
        <f aca="false">IF(AB$5="A",Inputs_Actuals!AB93,(AB27*Contract_Register!$K$25+AB65*Contract_Register!$L$25)*AB103)</f>
        <v>8543.23921797712</v>
      </c>
    </row>
    <row r="142" customFormat="false" ht="15" hidden="false" customHeight="false" outlineLevel="0" collapsed="false">
      <c r="A142" s="27" t="s">
        <v>832</v>
      </c>
      <c r="B142" s="63" t="s">
        <v>853</v>
      </c>
      <c r="C142" s="66" t="n">
        <f aca="false">SUM(E142:P142)</f>
        <v>89751.6578980223</v>
      </c>
      <c r="D142" s="66" t="n">
        <f aca="false">SUM(Q142:AB142)</f>
        <v>87773.6760885769</v>
      </c>
      <c r="E142" s="67" t="n">
        <f aca="false">IF(E$5="A",Inputs_Actuals!E94,(E28*Contract_Register!$K$26+E66*Contract_Register!$L$26)*E104)</f>
        <v>7382.07</v>
      </c>
      <c r="F142" s="67" t="n">
        <f aca="false">IF(F$5="A",Inputs_Actuals!F94,(F28*Contract_Register!$K$26+F66*Contract_Register!$L$26)*F104)</f>
        <v>7422.08</v>
      </c>
      <c r="G142" s="67" t="n">
        <f aca="false">IF(G$5="A",Inputs_Actuals!G94,(G28*Contract_Register!$K$26+G66*Contract_Register!$L$26)*G104)</f>
        <v>7422.08</v>
      </c>
      <c r="H142" s="67" t="n">
        <f aca="false">IF(H$5="A",Inputs_Actuals!H94,(H28*Contract_Register!$K$26+H66*Contract_Register!$L$26)*H104)</f>
        <v>7462.1</v>
      </c>
      <c r="I142" s="67" t="n">
        <f aca="false">IF(I$5="A",Inputs_Actuals!I94,(I28*Contract_Register!$K$26+I66*Contract_Register!$L$26)*I104)</f>
        <v>7462.1</v>
      </c>
      <c r="J142" s="67" t="n">
        <f aca="false">IF(J$5="A",Inputs_Actuals!J94,(J28*Contract_Register!$K$26+J66*Contract_Register!$L$26)*J104)</f>
        <v>7462.1</v>
      </c>
      <c r="K142" s="67" t="n">
        <f aca="false">IF(K$5="A",Inputs_Actuals!K94,(K28*Contract_Register!$K$26+K66*Contract_Register!$L$26)*K104)</f>
        <v>7502.11</v>
      </c>
      <c r="L142" s="67" t="n">
        <f aca="false">IF(L$5="A",Inputs_Actuals!L94,(L28*Contract_Register!$K$26+L66*Contract_Register!$L$26)*L104)</f>
        <v>7502.11</v>
      </c>
      <c r="M142" s="67" t="n">
        <f aca="false">IF(M$5="A",Inputs_Actuals!M94,(M28*Contract_Register!$K$26+M66*Contract_Register!$L$26)*M104)</f>
        <v>7514.73390063457</v>
      </c>
      <c r="N142" s="67" t="n">
        <f aca="false">IF(N$5="A",Inputs_Actuals!N94,(N28*Contract_Register!$K$26+N66*Contract_Register!$L$26)*N104)</f>
        <v>7527.38066875105</v>
      </c>
      <c r="O142" s="67" t="n">
        <f aca="false">IF(O$5="A",Inputs_Actuals!O94,(O28*Contract_Register!$K$26+O66*Contract_Register!$L$26)*O104)</f>
        <v>7540.05034770407</v>
      </c>
      <c r="P142" s="67" t="n">
        <f aca="false">IF(P$5="A",Inputs_Actuals!P94,(P28*Contract_Register!$K$26+P66*Contract_Register!$L$26)*P104)</f>
        <v>7552.74298093262</v>
      </c>
      <c r="Q142" s="67" t="n">
        <f aca="false">IF(Q$5="A",Inputs_Actuals!Q94,(Q28*Contract_Register!$K$26+Q66*Contract_Register!$L$26)*Q104)</f>
        <v>7246.95280439664</v>
      </c>
      <c r="R142" s="67" t="n">
        <f aca="false">IF(R$5="A",Inputs_Actuals!R94,(R28*Contract_Register!$K$26+R66*Contract_Register!$L$26)*R104)</f>
        <v>7259.15517872179</v>
      </c>
      <c r="S142" s="67" t="n">
        <f aca="false">IF(S$5="A",Inputs_Actuals!S94,(S28*Contract_Register!$K$26+S66*Contract_Register!$L$26)*S104)</f>
        <v>7271.37966626432</v>
      </c>
      <c r="T142" s="67" t="n">
        <f aca="false">IF(T$5="A",Inputs_Actuals!T94,(T28*Contract_Register!$K$26+T66*Contract_Register!$L$26)*T104)</f>
        <v>7283.62630895911</v>
      </c>
      <c r="U142" s="67" t="n">
        <f aca="false">IF(U$5="A",Inputs_Actuals!U94,(U28*Contract_Register!$K$26+U66*Contract_Register!$L$26)*U104)</f>
        <v>7295.89514882266</v>
      </c>
      <c r="V142" s="67" t="n">
        <f aca="false">IF(V$5="A",Inputs_Actuals!V94,(V28*Contract_Register!$K$26+V66*Contract_Register!$L$26)*V104)</f>
        <v>7308.18622795318</v>
      </c>
      <c r="W142" s="67" t="n">
        <f aca="false">IF(W$5="A",Inputs_Actuals!W94,(W28*Contract_Register!$K$26+W66*Contract_Register!$L$26)*W104)</f>
        <v>7320.49958853079</v>
      </c>
      <c r="X142" s="67" t="n">
        <f aca="false">IF(X$5="A",Inputs_Actuals!X94,(X28*Contract_Register!$K$26+X66*Contract_Register!$L$26)*X104)</f>
        <v>7332.83527281769</v>
      </c>
      <c r="Y142" s="67" t="n">
        <f aca="false">IF(Y$5="A",Inputs_Actuals!Y94,(Y28*Contract_Register!$K$26+Y66*Contract_Register!$L$26)*Y104)</f>
        <v>7345.19332315826</v>
      </c>
      <c r="Z142" s="67" t="n">
        <f aca="false">IF(Z$5="A",Inputs_Actuals!Z94,(Z28*Contract_Register!$K$26+Z66*Contract_Register!$L$26)*Z104)</f>
        <v>7357.57378197931</v>
      </c>
      <c r="AA142" s="67" t="n">
        <f aca="false">IF(AA$5="A",Inputs_Actuals!AA94,(AA28*Contract_Register!$K$26+AA66*Contract_Register!$L$26)*AA104)</f>
        <v>7369.97669179018</v>
      </c>
      <c r="AB142" s="67" t="n">
        <f aca="false">IF(AB$5="A",Inputs_Actuals!AB94,(AB28*Contract_Register!$K$26+AB66*Contract_Register!$L$26)*AB104)</f>
        <v>7382.40209518291</v>
      </c>
    </row>
    <row r="143" customFormat="false" ht="15" hidden="false" customHeight="false" outlineLevel="0" collapsed="false">
      <c r="A143" s="27" t="s">
        <v>833</v>
      </c>
      <c r="B143" s="63" t="s">
        <v>853</v>
      </c>
      <c r="C143" s="66" t="n">
        <f aca="false">SUM(E143:P143)</f>
        <v>50690.52</v>
      </c>
      <c r="D143" s="66" t="n">
        <f aca="false">SUM(Q143:AB143)</f>
        <v>52111.1556</v>
      </c>
      <c r="E143" s="67" t="n">
        <f aca="false">IF(E$5="A",Inputs_Actuals!E95,(E29*Contract_Register!$K$27+E67*Contract_Register!$L$27)*E105)</f>
        <v>4170</v>
      </c>
      <c r="F143" s="67" t="n">
        <f aca="false">IF(F$5="A",Inputs_Actuals!F95,(F29*Contract_Register!$K$27+F67*Contract_Register!$L$27)*F105)</f>
        <v>4170</v>
      </c>
      <c r="G143" s="67" t="n">
        <f aca="false">IF(G$5="A",Inputs_Actuals!G95,(G29*Contract_Register!$K$27+G67*Contract_Register!$L$27)*G105)</f>
        <v>4170</v>
      </c>
      <c r="H143" s="67" t="n">
        <f aca="false">IF(H$5="A",Inputs_Actuals!H95,(H29*Contract_Register!$K$27+H67*Contract_Register!$L$27)*H105)</f>
        <v>4170</v>
      </c>
      <c r="I143" s="67" t="n">
        <f aca="false">IF(I$5="A",Inputs_Actuals!I95,(I29*Contract_Register!$K$27+I67*Contract_Register!$L$27)*I105)</f>
        <v>4170</v>
      </c>
      <c r="J143" s="67" t="n">
        <f aca="false">IF(J$5="A",Inputs_Actuals!J95,(J29*Contract_Register!$K$27+J67*Contract_Register!$L$27)*J105)</f>
        <v>4170</v>
      </c>
      <c r="K143" s="67" t="n">
        <f aca="false">IF(K$5="A",Inputs_Actuals!K95,(K29*Contract_Register!$K$27+K67*Contract_Register!$L$27)*K105)</f>
        <v>4278.42</v>
      </c>
      <c r="L143" s="67" t="n">
        <f aca="false">IF(L$5="A",Inputs_Actuals!L95,(L29*Contract_Register!$K$27+L67*Contract_Register!$L$27)*L105)</f>
        <v>4278.42</v>
      </c>
      <c r="M143" s="67" t="n">
        <f aca="false">IF(M$5="A",Inputs_Actuals!M95,(M29*Contract_Register!$K$27+M67*Contract_Register!$L$27)*M105)</f>
        <v>4278.42</v>
      </c>
      <c r="N143" s="67" t="n">
        <f aca="false">IF(N$5="A",Inputs_Actuals!N95,(N29*Contract_Register!$K$27+N67*Contract_Register!$L$27)*N105)</f>
        <v>4278.42</v>
      </c>
      <c r="O143" s="67" t="n">
        <f aca="false">IF(O$5="A",Inputs_Actuals!O95,(O29*Contract_Register!$K$27+O67*Contract_Register!$L$27)*O105)</f>
        <v>4278.42</v>
      </c>
      <c r="P143" s="67" t="n">
        <f aca="false">IF(P$5="A",Inputs_Actuals!P95,(P29*Contract_Register!$K$27+P67*Contract_Register!$L$27)*P105)</f>
        <v>4278.42</v>
      </c>
      <c r="Q143" s="67" t="n">
        <f aca="false">IF(Q$5="A",Inputs_Actuals!Q95,(Q29*Contract_Register!$K$27+Q67*Contract_Register!$L$27)*Q105)</f>
        <v>4278.42</v>
      </c>
      <c r="R143" s="67" t="n">
        <f aca="false">IF(R$5="A",Inputs_Actuals!R95,(R29*Contract_Register!$K$27+R67*Contract_Register!$L$27)*R105)</f>
        <v>4278.42</v>
      </c>
      <c r="S143" s="67" t="n">
        <f aca="false">IF(S$5="A",Inputs_Actuals!S95,(S29*Contract_Register!$K$27+S67*Contract_Register!$L$27)*S105)</f>
        <v>4278.42</v>
      </c>
      <c r="T143" s="67" t="n">
        <f aca="false">IF(T$5="A",Inputs_Actuals!T95,(T29*Contract_Register!$K$27+T67*Contract_Register!$L$27)*T105)</f>
        <v>4278.42</v>
      </c>
      <c r="U143" s="67" t="n">
        <f aca="false">IF(U$5="A",Inputs_Actuals!U95,(U29*Contract_Register!$K$27+U67*Contract_Register!$L$27)*U105)</f>
        <v>4278.42</v>
      </c>
      <c r="V143" s="67" t="n">
        <f aca="false">IF(V$5="A",Inputs_Actuals!V95,(V29*Contract_Register!$K$27+V67*Contract_Register!$L$27)*V105)</f>
        <v>4278.42</v>
      </c>
      <c r="W143" s="67" t="n">
        <f aca="false">IF(W$5="A",Inputs_Actuals!W95,(W29*Contract_Register!$K$27+W67*Contract_Register!$L$27)*W105)</f>
        <v>4406.7726</v>
      </c>
      <c r="X143" s="67" t="n">
        <f aca="false">IF(X$5="A",Inputs_Actuals!X95,(X29*Contract_Register!$K$27+X67*Contract_Register!$L$27)*X105)</f>
        <v>4406.7726</v>
      </c>
      <c r="Y143" s="67" t="n">
        <f aca="false">IF(Y$5="A",Inputs_Actuals!Y95,(Y29*Contract_Register!$K$27+Y67*Contract_Register!$L$27)*Y105)</f>
        <v>4406.7726</v>
      </c>
      <c r="Z143" s="67" t="n">
        <f aca="false">IF(Z$5="A",Inputs_Actuals!Z95,(Z29*Contract_Register!$K$27+Z67*Contract_Register!$L$27)*Z105)</f>
        <v>4406.7726</v>
      </c>
      <c r="AA143" s="67" t="n">
        <f aca="false">IF(AA$5="A",Inputs_Actuals!AA95,(AA29*Contract_Register!$K$27+AA67*Contract_Register!$L$27)*AA105)</f>
        <v>4406.7726</v>
      </c>
      <c r="AB143" s="67" t="n">
        <f aca="false">IF(AB$5="A",Inputs_Actuals!AB95,(AB29*Contract_Register!$K$27+AB67*Contract_Register!$L$27)*AB105)</f>
        <v>4406.7726</v>
      </c>
    </row>
    <row r="144" customFormat="false" ht="15" hidden="false" customHeight="false" outlineLevel="0" collapsed="false">
      <c r="A144" s="27" t="s">
        <v>834</v>
      </c>
      <c r="B144" s="63" t="s">
        <v>853</v>
      </c>
      <c r="C144" s="66" t="n">
        <f aca="false">SUM(E144:P144)</f>
        <v>70055.6620528651</v>
      </c>
      <c r="D144" s="66" t="n">
        <f aca="false">SUM(Q144:AB144)</f>
        <v>73559.356280744</v>
      </c>
      <c r="E144" s="67" t="n">
        <f aca="false">IF(E$5="A",Inputs_Actuals!E96,(E30*Contract_Register!$K$28+E68*Contract_Register!$L$28)*E106)</f>
        <v>5715</v>
      </c>
      <c r="F144" s="67" t="n">
        <f aca="false">IF(F$5="A",Inputs_Actuals!F96,(F30*Contract_Register!$K$28+F68*Contract_Register!$L$28)*F106)</f>
        <v>5752</v>
      </c>
      <c r="G144" s="67" t="n">
        <f aca="false">IF(G$5="A",Inputs_Actuals!G96,(G30*Contract_Register!$K$28+G68*Contract_Register!$L$28)*G106)</f>
        <v>5752</v>
      </c>
      <c r="H144" s="67" t="n">
        <f aca="false">IF(H$5="A",Inputs_Actuals!H96,(H30*Contract_Register!$K$28+H68*Contract_Register!$L$28)*H106)</f>
        <v>5752</v>
      </c>
      <c r="I144" s="67" t="n">
        <f aca="false">IF(I$5="A",Inputs_Actuals!I96,(I30*Contract_Register!$K$28+I68*Contract_Register!$L$28)*I106)</f>
        <v>5796</v>
      </c>
      <c r="J144" s="67" t="n">
        <f aca="false">IF(J$5="A",Inputs_Actuals!J96,(J30*Contract_Register!$K$28+J68*Contract_Register!$L$28)*J106)</f>
        <v>5796</v>
      </c>
      <c r="K144" s="67" t="n">
        <f aca="false">IF(K$5="A",Inputs_Actuals!K96,(K30*Contract_Register!$K$28+K68*Contract_Register!$L$28)*K106)</f>
        <v>5833</v>
      </c>
      <c r="L144" s="67" t="n">
        <f aca="false">IF(L$5="A",Inputs_Actuals!L96,(L30*Contract_Register!$K$28+L68*Contract_Register!$L$28)*L106)</f>
        <v>5833</v>
      </c>
      <c r="M144" s="67" t="n">
        <f aca="false">IF(M$5="A",Inputs_Actuals!M96,(M30*Contract_Register!$K$28+M68*Contract_Register!$L$28)*M106)</f>
        <v>5847.133</v>
      </c>
      <c r="N144" s="67" t="n">
        <f aca="false">IF(N$5="A",Inputs_Actuals!N96,(N30*Contract_Register!$K$28+N68*Contract_Register!$L$28)*N106)</f>
        <v>5861.30335</v>
      </c>
      <c r="O144" s="67" t="n">
        <f aca="false">IF(O$5="A",Inputs_Actuals!O96,(O30*Contract_Register!$K$28+O68*Contract_Register!$L$28)*O106)</f>
        <v>6051.77648911079</v>
      </c>
      <c r="P144" s="67" t="n">
        <f aca="false">IF(P$5="A",Inputs_Actuals!P96,(P30*Contract_Register!$K$28+P68*Contract_Register!$L$28)*P106)</f>
        <v>6066.44921375431</v>
      </c>
      <c r="Q144" s="67" t="n">
        <f aca="false">IF(Q$5="A",Inputs_Actuals!Q96,(Q30*Contract_Register!$K$28+Q68*Contract_Register!$L$28)*Q106)</f>
        <v>6081.16073266452</v>
      </c>
      <c r="R144" s="67" t="n">
        <f aca="false">IF(R$5="A",Inputs_Actuals!R96,(R30*Contract_Register!$K$28+R68*Contract_Register!$L$28)*R106)</f>
        <v>6095.91115438837</v>
      </c>
      <c r="S144" s="67" t="n">
        <f aca="false">IF(S$5="A",Inputs_Actuals!S96,(S30*Contract_Register!$K$28+S68*Contract_Register!$L$28)*S106)</f>
        <v>6110.70058778667</v>
      </c>
      <c r="T144" s="67" t="n">
        <f aca="false">IF(T$5="A",Inputs_Actuals!T96,(T30*Contract_Register!$K$28+T68*Contract_Register!$L$28)*T106)</f>
        <v>6125.52914203508</v>
      </c>
      <c r="U144" s="67" t="n">
        <f aca="false">IF(U$5="A",Inputs_Actuals!U96,(U30*Contract_Register!$K$28+U68*Contract_Register!$L$28)*U106)</f>
        <v>6140.39692662495</v>
      </c>
      <c r="V144" s="67" t="n">
        <f aca="false">IF(V$5="A",Inputs_Actuals!V96,(V30*Contract_Register!$K$28+V68*Contract_Register!$L$28)*V106)</f>
        <v>6155.30405136434</v>
      </c>
      <c r="W144" s="67" t="n">
        <f aca="false">IF(W$5="A",Inputs_Actuals!W96,(W30*Contract_Register!$K$28+W68*Contract_Register!$L$28)*W106)</f>
        <v>6170.25062637889</v>
      </c>
      <c r="X144" s="67" t="n">
        <f aca="false">IF(X$5="A",Inputs_Actuals!X96,(X30*Contract_Register!$K$28+X68*Contract_Register!$L$28)*X106)</f>
        <v>6185.23676211277</v>
      </c>
      <c r="Y144" s="67" t="n">
        <f aca="false">IF(Y$5="A",Inputs_Actuals!Y96,(Y30*Contract_Register!$K$28+Y68*Contract_Register!$L$28)*Y106)</f>
        <v>6200.26256932964</v>
      </c>
      <c r="Z144" s="67" t="n">
        <f aca="false">IF(Z$5="A",Inputs_Actuals!Z96,(Z30*Contract_Register!$K$28+Z68*Contract_Register!$L$28)*Z106)</f>
        <v>6215.32815911355</v>
      </c>
      <c r="AA144" s="67" t="n">
        <f aca="false">IF(AA$5="A",Inputs_Actuals!AA96,(AA30*Contract_Register!$K$28+AA68*Contract_Register!$L$28)*AA106)</f>
        <v>6032.30585302666</v>
      </c>
      <c r="AB144" s="67" t="n">
        <f aca="false">IF(AB$5="A",Inputs_Actuals!AB96,(AB30*Contract_Register!$K$28+AB68*Contract_Register!$L$28)*AB106)</f>
        <v>6046.96971591851</v>
      </c>
    </row>
    <row r="145" customFormat="false" ht="15" hidden="false" customHeight="false" outlineLevel="0" collapsed="false">
      <c r="A145" s="27" t="s">
        <v>835</v>
      </c>
      <c r="B145" s="63" t="s">
        <v>853</v>
      </c>
      <c r="C145" s="66" t="n">
        <f aca="false">SUM(E145:P145)</f>
        <v>33613.7033616989</v>
      </c>
      <c r="D145" s="66" t="n">
        <f aca="false">SUM(Q145:AB145)</f>
        <v>35688.4815258995</v>
      </c>
      <c r="E145" s="67" t="n">
        <f aca="false">IF(E$5="A",Inputs_Actuals!E97,(E31*Contract_Register!$K$29+E69*Contract_Register!$L$29)*E107)</f>
        <v>2728</v>
      </c>
      <c r="F145" s="67" t="n">
        <f aca="false">IF(F$5="A",Inputs_Actuals!F97,(F31*Contract_Register!$K$29+F69*Contract_Register!$L$29)*F107)</f>
        <v>2728</v>
      </c>
      <c r="G145" s="67" t="n">
        <f aca="false">IF(G$5="A",Inputs_Actuals!G97,(G31*Contract_Register!$K$29+G69*Contract_Register!$L$29)*G107)</f>
        <v>2728</v>
      </c>
      <c r="H145" s="67" t="n">
        <f aca="false">IF(H$5="A",Inputs_Actuals!H97,(H31*Contract_Register!$K$29+H69*Contract_Register!$L$29)*H107)</f>
        <v>2780</v>
      </c>
      <c r="I145" s="67" t="n">
        <f aca="false">IF(I$5="A",Inputs_Actuals!I97,(I31*Contract_Register!$K$29+I69*Contract_Register!$L$29)*I107)</f>
        <v>2780</v>
      </c>
      <c r="J145" s="67" t="n">
        <f aca="false">IF(J$5="A",Inputs_Actuals!J97,(J31*Contract_Register!$K$29+J69*Contract_Register!$L$29)*J107)</f>
        <v>2780</v>
      </c>
      <c r="K145" s="67" t="n">
        <f aca="false">IF(K$5="A",Inputs_Actuals!K97,(K31*Contract_Register!$K$29+K69*Contract_Register!$L$29)*K107)</f>
        <v>2780</v>
      </c>
      <c r="L145" s="67" t="n">
        <f aca="false">IF(L$5="A",Inputs_Actuals!L97,(L31*Contract_Register!$K$29+L69*Contract_Register!$L$29)*L107)</f>
        <v>2780</v>
      </c>
      <c r="M145" s="67" t="n">
        <f aca="false">IF(M$5="A",Inputs_Actuals!M97,(M31*Contract_Register!$K$29+M69*Contract_Register!$L$29)*M107)</f>
        <v>2870.98904</v>
      </c>
      <c r="N145" s="67" t="n">
        <f aca="false">IF(N$5="A",Inputs_Actuals!N97,(N31*Contract_Register!$K$29+N69*Contract_Register!$L$29)*N107)</f>
        <v>2878.59934538</v>
      </c>
      <c r="O145" s="67" t="n">
        <f aca="false">IF(O$5="A",Inputs_Actuals!O97,(O31*Contract_Register!$K$29+O69*Contract_Register!$L$29)*O107)</f>
        <v>2886.23097768353</v>
      </c>
      <c r="P145" s="67" t="n">
        <f aca="false">IF(P$5="A",Inputs_Actuals!P97,(P31*Contract_Register!$K$29+P69*Contract_Register!$L$29)*P107)</f>
        <v>2893.88399863537</v>
      </c>
      <c r="Q145" s="67" t="n">
        <f aca="false">IF(Q$5="A",Inputs_Actuals!Q97,(Q31*Contract_Register!$K$29+Q69*Contract_Register!$L$29)*Q107)</f>
        <v>2901.5584701421</v>
      </c>
      <c r="R145" s="67" t="n">
        <f aca="false">IF(R$5="A",Inputs_Actuals!R97,(R31*Contract_Register!$K$29+R69*Contract_Register!$L$29)*R107)</f>
        <v>2909.25445429261</v>
      </c>
      <c r="S145" s="67" t="n">
        <f aca="false">IF(S$5="A",Inputs_Actuals!S97,(S31*Contract_Register!$K$29+S69*Contract_Register!$L$29)*S107)</f>
        <v>2916.97201335868</v>
      </c>
      <c r="T145" s="67" t="n">
        <f aca="false">IF(T$5="A",Inputs_Actuals!T97,(T31*Contract_Register!$K$29+T69*Contract_Register!$L$29)*T107)</f>
        <v>2924.71120979551</v>
      </c>
      <c r="U145" s="67" t="n">
        <f aca="false">IF(U$5="A",Inputs_Actuals!U97,(U31*Contract_Register!$K$29+U69*Contract_Register!$L$29)*U107)</f>
        <v>2932.47210624224</v>
      </c>
      <c r="V145" s="67" t="n">
        <f aca="false">IF(V$5="A",Inputs_Actuals!V97,(V31*Contract_Register!$K$29+V69*Contract_Register!$L$29)*V107)</f>
        <v>2940.25476552254</v>
      </c>
      <c r="W145" s="67" t="n">
        <f aca="false">IF(W$5="A",Inputs_Actuals!W97,(W31*Contract_Register!$K$29+W69*Contract_Register!$L$29)*W107)</f>
        <v>2948.05925064512</v>
      </c>
      <c r="X145" s="67" t="n">
        <f aca="false">IF(X$5="A",Inputs_Actuals!X97,(X31*Contract_Register!$K$29+X69*Contract_Register!$L$29)*X107)</f>
        <v>2955.88562480431</v>
      </c>
      <c r="Y145" s="67" t="n">
        <f aca="false">IF(Y$5="A",Inputs_Actuals!Y97,(Y31*Contract_Register!$K$29+Y69*Contract_Register!$L$29)*Y107)</f>
        <v>3052.645969922</v>
      </c>
      <c r="Z145" s="67" t="n">
        <f aca="false">IF(Z$5="A",Inputs_Actuals!Z97,(Z31*Contract_Register!$K$29+Z69*Contract_Register!$L$29)*Z107)</f>
        <v>3060.75242275938</v>
      </c>
      <c r="AA145" s="67" t="n">
        <f aca="false">IF(AA$5="A",Inputs_Actuals!AA97,(AA31*Contract_Register!$K$29+AA69*Contract_Register!$L$29)*AA107)</f>
        <v>3068.88161772765</v>
      </c>
      <c r="AB145" s="67" t="n">
        <f aca="false">IF(AB$5="A",Inputs_Actuals!AB97,(AB31*Contract_Register!$K$29+AB69*Contract_Register!$L$29)*AB107)</f>
        <v>3077.03362068739</v>
      </c>
    </row>
    <row r="146" customFormat="false" ht="15" hidden="false" customHeight="false" outlineLevel="0" collapsed="false">
      <c r="A146" s="27" t="s">
        <v>836</v>
      </c>
      <c r="B146" s="63" t="s">
        <v>853</v>
      </c>
      <c r="C146" s="66" t="n">
        <f aca="false">SUM(E146:P146)</f>
        <v>33078</v>
      </c>
      <c r="D146" s="66" t="n">
        <f aca="false">SUM(Q146:AB146)</f>
        <v>0</v>
      </c>
      <c r="E146" s="67" t="n">
        <f aca="false">IF(E$5="A",Inputs_Actuals!E98,(E32*Contract_Register!$K$30+E70*Contract_Register!$L$30)*E108)</f>
        <v>8289</v>
      </c>
      <c r="F146" s="67" t="n">
        <f aca="false">IF(F$5="A",Inputs_Actuals!F98,(F32*Contract_Register!$K$30+F70*Contract_Register!$L$30)*F108)</f>
        <v>8289</v>
      </c>
      <c r="G146" s="67" t="n">
        <f aca="false">IF(G$5="A",Inputs_Actuals!G98,(G32*Contract_Register!$K$30+G70*Contract_Register!$L$30)*G108)</f>
        <v>8250</v>
      </c>
      <c r="H146" s="67" t="n">
        <f aca="false">IF(H$5="A",Inputs_Actuals!H98,(H32*Contract_Register!$K$30+H70*Contract_Register!$L$30)*H108)</f>
        <v>8250</v>
      </c>
      <c r="I146" s="67" t="n">
        <f aca="false">IF(I$5="A",Inputs_Actuals!I98,(I32*Contract_Register!$K$30+I70*Contract_Register!$L$30)*I108)</f>
        <v>0</v>
      </c>
      <c r="J146" s="67" t="n">
        <f aca="false">IF(J$5="A",Inputs_Actuals!J98,(J32*Contract_Register!$K$30+J70*Contract_Register!$L$30)*J108)</f>
        <v>0</v>
      </c>
      <c r="K146" s="67" t="n">
        <f aca="false">IF(K$5="A",Inputs_Actuals!K98,(K32*Contract_Register!$K$30+K70*Contract_Register!$L$30)*K108)</f>
        <v>0</v>
      </c>
      <c r="L146" s="67" t="n">
        <f aca="false">IF(L$5="A",Inputs_Actuals!L98,(L32*Contract_Register!$K$30+L70*Contract_Register!$L$30)*L108)</f>
        <v>0</v>
      </c>
      <c r="M146" s="67" t="n">
        <f aca="false">IF(M$5="A",Inputs_Actuals!M98,(M32*Contract_Register!$K$30+M70*Contract_Register!$L$30)*M108)</f>
        <v>0</v>
      </c>
      <c r="N146" s="67" t="n">
        <f aca="false">IF(N$5="A",Inputs_Actuals!N98,(N32*Contract_Register!$K$30+N70*Contract_Register!$L$30)*N108)</f>
        <v>0</v>
      </c>
      <c r="O146" s="67" t="n">
        <f aca="false">IF(O$5="A",Inputs_Actuals!O98,(O32*Contract_Register!$K$30+O70*Contract_Register!$L$30)*O108)</f>
        <v>0</v>
      </c>
      <c r="P146" s="67" t="n">
        <f aca="false">IF(P$5="A",Inputs_Actuals!P98,(P32*Contract_Register!$K$30+P70*Contract_Register!$L$30)*P108)</f>
        <v>0</v>
      </c>
      <c r="Q146" s="67" t="n">
        <f aca="false">IF(Q$5="A",Inputs_Actuals!Q98,(Q32*Contract_Register!$K$30+Q70*Contract_Register!$L$30)*Q108)</f>
        <v>0</v>
      </c>
      <c r="R146" s="67" t="n">
        <f aca="false">IF(R$5="A",Inputs_Actuals!R98,(R32*Contract_Register!$K$30+R70*Contract_Register!$L$30)*R108)</f>
        <v>0</v>
      </c>
      <c r="S146" s="67" t="n">
        <f aca="false">IF(S$5="A",Inputs_Actuals!S98,(S32*Contract_Register!$K$30+S70*Contract_Register!$L$30)*S108)</f>
        <v>0</v>
      </c>
      <c r="T146" s="67" t="n">
        <f aca="false">IF(T$5="A",Inputs_Actuals!T98,(T32*Contract_Register!$K$30+T70*Contract_Register!$L$30)*T108)</f>
        <v>0</v>
      </c>
      <c r="U146" s="67" t="n">
        <f aca="false">IF(U$5="A",Inputs_Actuals!U98,(U32*Contract_Register!$K$30+U70*Contract_Register!$L$30)*U108)</f>
        <v>0</v>
      </c>
      <c r="V146" s="67" t="n">
        <f aca="false">IF(V$5="A",Inputs_Actuals!V98,(V32*Contract_Register!$K$30+V70*Contract_Register!$L$30)*V108)</f>
        <v>0</v>
      </c>
      <c r="W146" s="67" t="n">
        <f aca="false">IF(W$5="A",Inputs_Actuals!W98,(W32*Contract_Register!$K$30+W70*Contract_Register!$L$30)*W108)</f>
        <v>0</v>
      </c>
      <c r="X146" s="67" t="n">
        <f aca="false">IF(X$5="A",Inputs_Actuals!X98,(X32*Contract_Register!$K$30+X70*Contract_Register!$L$30)*X108)</f>
        <v>0</v>
      </c>
      <c r="Y146" s="67" t="n">
        <f aca="false">IF(Y$5="A",Inputs_Actuals!Y98,(Y32*Contract_Register!$K$30+Y70*Contract_Register!$L$30)*Y108)</f>
        <v>0</v>
      </c>
      <c r="Z146" s="67" t="n">
        <f aca="false">IF(Z$5="A",Inputs_Actuals!Z98,(Z32*Contract_Register!$K$30+Z70*Contract_Register!$L$30)*Z108)</f>
        <v>0</v>
      </c>
      <c r="AA146" s="67" t="n">
        <f aca="false">IF(AA$5="A",Inputs_Actuals!AA98,(AA32*Contract_Register!$K$30+AA70*Contract_Register!$L$30)*AA108)</f>
        <v>0</v>
      </c>
      <c r="AB146" s="67" t="n">
        <f aca="false">IF(AB$5="A",Inputs_Actuals!AB98,(AB32*Contract_Register!$K$30+AB70*Contract_Register!$L$30)*AB108)</f>
        <v>0</v>
      </c>
    </row>
    <row r="147" customFormat="false" ht="15" hidden="false" customHeight="false" outlineLevel="0" collapsed="false">
      <c r="A147" s="27" t="s">
        <v>837</v>
      </c>
      <c r="B147" s="63" t="s">
        <v>853</v>
      </c>
      <c r="C147" s="66" t="n">
        <f aca="false">SUM(E147:P147)</f>
        <v>111144.34301144</v>
      </c>
      <c r="D147" s="66" t="n">
        <f aca="false">SUM(Q147:AB147)</f>
        <v>111106.813615183</v>
      </c>
      <c r="E147" s="67" t="n">
        <f aca="false">IF(E$5="A",Inputs_Actuals!E99,(E33*Contract_Register!$K$31+E71*Contract_Register!$L$31)*E109)</f>
        <v>8900</v>
      </c>
      <c r="F147" s="67" t="n">
        <f aca="false">IF(F$5="A",Inputs_Actuals!F99,(F33*Contract_Register!$K$31+F71*Contract_Register!$L$31)*F109)</f>
        <v>8943</v>
      </c>
      <c r="G147" s="67" t="n">
        <f aca="false">IF(G$5="A",Inputs_Actuals!G99,(G33*Contract_Register!$K$31+G71*Contract_Register!$L$31)*G109)</f>
        <v>9050</v>
      </c>
      <c r="H147" s="67" t="n">
        <f aca="false">IF(H$5="A",Inputs_Actuals!H99,(H33*Contract_Register!$K$31+H71*Contract_Register!$L$31)*H109)</f>
        <v>9285.3</v>
      </c>
      <c r="I147" s="67" t="n">
        <f aca="false">IF(I$5="A",Inputs_Actuals!I99,(I33*Contract_Register!$K$31+I71*Contract_Register!$L$31)*I109)</f>
        <v>9241.18</v>
      </c>
      <c r="J147" s="67" t="n">
        <f aca="false">IF(J$5="A",Inputs_Actuals!J99,(J33*Contract_Register!$K$31+J71*Contract_Register!$L$31)*J109)</f>
        <v>9241.18</v>
      </c>
      <c r="K147" s="67" t="n">
        <f aca="false">IF(K$5="A",Inputs_Actuals!K99,(K33*Contract_Register!$K$31+K71*Contract_Register!$L$31)*K109)</f>
        <v>9350.96</v>
      </c>
      <c r="L147" s="67" t="n">
        <f aca="false">IF(L$5="A",Inputs_Actuals!L99,(L33*Contract_Register!$K$31+L71*Contract_Register!$L$31)*L109)</f>
        <v>9395.08</v>
      </c>
      <c r="M147" s="67" t="n">
        <f aca="false">IF(M$5="A",Inputs_Actuals!M99,(M33*Contract_Register!$K$31+M71*Contract_Register!$L$31)*M109)</f>
        <v>9410.78395265698</v>
      </c>
      <c r="N147" s="67" t="n">
        <f aca="false">IF(N$5="A",Inputs_Actuals!N99,(N33*Contract_Register!$K$31+N71*Contract_Register!$L$31)*N109)</f>
        <v>9426.51622701194</v>
      </c>
      <c r="O147" s="67" t="n">
        <f aca="false">IF(O$5="A",Inputs_Actuals!O99,(O33*Contract_Register!$K$31+O71*Contract_Register!$L$31)*O109)</f>
        <v>9442.27687662205</v>
      </c>
      <c r="P147" s="67" t="n">
        <f aca="false">IF(P$5="A",Inputs_Actuals!P99,(P33*Contract_Register!$K$31+P71*Contract_Register!$L$31)*P109)</f>
        <v>9458.06595514854</v>
      </c>
      <c r="Q147" s="67" t="n">
        <f aca="false">IF(Q$5="A",Inputs_Actuals!Q99,(Q33*Contract_Register!$K$31+Q71*Contract_Register!$L$31)*Q109)</f>
        <v>9473.88351635686</v>
      </c>
      <c r="R147" s="67" t="n">
        <f aca="false">IF(R$5="A",Inputs_Actuals!R99,(R33*Contract_Register!$K$31+R71*Contract_Register!$L$31)*R109)</f>
        <v>9489.72961411689</v>
      </c>
      <c r="S147" s="67" t="n">
        <f aca="false">IF(S$5="A",Inputs_Actuals!S99,(S33*Contract_Register!$K$31+S71*Contract_Register!$L$31)*S109)</f>
        <v>9505.60430240317</v>
      </c>
      <c r="T147" s="67" t="n">
        <f aca="false">IF(T$5="A",Inputs_Actuals!T99,(T33*Contract_Register!$K$31+T71*Contract_Register!$L$31)*T109)</f>
        <v>9120.65216384916</v>
      </c>
      <c r="U147" s="67" t="n">
        <f aca="false">IF(U$5="A",Inputs_Actuals!U99,(U33*Contract_Register!$K$31+U71*Contract_Register!$L$31)*U109)</f>
        <v>9135.91345699733</v>
      </c>
      <c r="V147" s="67" t="n">
        <f aca="false">IF(V$5="A",Inputs_Actuals!V99,(V33*Contract_Register!$K$31+V71*Contract_Register!$L$31)*V109)</f>
        <v>9151.20229272061</v>
      </c>
      <c r="W147" s="67" t="n">
        <f aca="false">IF(W$5="A",Inputs_Actuals!W99,(W33*Contract_Register!$K$31+W71*Contract_Register!$L$31)*W109)</f>
        <v>9166.51872312415</v>
      </c>
      <c r="X147" s="67" t="n">
        <f aca="false">IF(X$5="A",Inputs_Actuals!X99,(X33*Contract_Register!$K$31+X71*Contract_Register!$L$31)*X109)</f>
        <v>9181.86280041432</v>
      </c>
      <c r="Y147" s="67" t="n">
        <f aca="false">IF(Y$5="A",Inputs_Actuals!Y99,(Y33*Contract_Register!$K$31+Y71*Contract_Register!$L$31)*Y109)</f>
        <v>9197.23457689891</v>
      </c>
      <c r="Z147" s="67" t="n">
        <f aca="false">IF(Z$5="A",Inputs_Actuals!Z99,(Z33*Contract_Register!$K$31+Z71*Contract_Register!$L$31)*Z109)</f>
        <v>9212.63410498735</v>
      </c>
      <c r="AA147" s="67" t="n">
        <f aca="false">IF(AA$5="A",Inputs_Actuals!AA99,(AA33*Contract_Register!$K$31+AA71*Contract_Register!$L$31)*AA109)</f>
        <v>9228.06143719091</v>
      </c>
      <c r="AB147" s="67" t="n">
        <f aca="false">IF(AB$5="A",Inputs_Actuals!AB99,(AB33*Contract_Register!$K$31+AB71*Contract_Register!$L$31)*AB109)</f>
        <v>9243.51662612286</v>
      </c>
    </row>
    <row r="148" customFormat="false" ht="15" hidden="false" customHeight="false" outlineLevel="0" collapsed="false">
      <c r="A148" s="27" t="s">
        <v>838</v>
      </c>
      <c r="B148" s="63" t="s">
        <v>853</v>
      </c>
      <c r="C148" s="66" t="n">
        <f aca="false">SUM(E148:P148)</f>
        <v>75988.2276981446</v>
      </c>
      <c r="D148" s="66" t="n">
        <f aca="false">SUM(Q148:AB148)</f>
        <v>79807.4316128387</v>
      </c>
      <c r="E148" s="67" t="n">
        <f aca="false">IF(E$5="A",Inputs_Actuals!E100,(E34*Contract_Register!$K$32+E72*Contract_Register!$L$32)*E110)</f>
        <v>6204</v>
      </c>
      <c r="F148" s="67" t="n">
        <f aca="false">IF(F$5="A",Inputs_Actuals!F100,(F34*Contract_Register!$K$32+F72*Contract_Register!$L$32)*F110)</f>
        <v>6204</v>
      </c>
      <c r="G148" s="67" t="n">
        <f aca="false">IF(G$5="A",Inputs_Actuals!G100,(G34*Contract_Register!$K$32+G72*Contract_Register!$L$32)*G110)</f>
        <v>6204</v>
      </c>
      <c r="H148" s="67" t="n">
        <f aca="false">IF(H$5="A",Inputs_Actuals!H100,(H34*Contract_Register!$K$32+H72*Contract_Register!$L$32)*H110)</f>
        <v>6248</v>
      </c>
      <c r="I148" s="67" t="n">
        <f aca="false">IF(I$5="A",Inputs_Actuals!I100,(I34*Contract_Register!$K$32+I72*Contract_Register!$L$32)*I110)</f>
        <v>6248</v>
      </c>
      <c r="J148" s="67" t="n">
        <f aca="false">IF(J$5="A",Inputs_Actuals!J100,(J34*Contract_Register!$K$32+J72*Contract_Register!$L$32)*J110)</f>
        <v>6248</v>
      </c>
      <c r="K148" s="67" t="n">
        <f aca="false">IF(K$5="A",Inputs_Actuals!K100,(K34*Contract_Register!$K$32+K72*Contract_Register!$L$32)*K110)</f>
        <v>6248</v>
      </c>
      <c r="L148" s="67" t="n">
        <f aca="false">IF(L$5="A",Inputs_Actuals!L100,(L34*Contract_Register!$K$32+L72*Contract_Register!$L$32)*L110)</f>
        <v>6455.59</v>
      </c>
      <c r="M148" s="67" t="n">
        <f aca="false">IF(M$5="A",Inputs_Actuals!M100,(M34*Contract_Register!$K$32+M72*Contract_Register!$L$32)*M110)</f>
        <v>6466.19883671329</v>
      </c>
      <c r="N148" s="67" t="n">
        <f aca="false">IF(N$5="A",Inputs_Actuals!N100,(N34*Contract_Register!$K$32+N72*Contract_Register!$L$32)*N110)</f>
        <v>6476.82658875671</v>
      </c>
      <c r="O148" s="67" t="n">
        <f aca="false">IF(O$5="A",Inputs_Actuals!O100,(O34*Contract_Register!$K$32+O72*Contract_Register!$L$32)*O110)</f>
        <v>6487.4732916586</v>
      </c>
      <c r="P148" s="67" t="n">
        <f aca="false">IF(P$5="A",Inputs_Actuals!P100,(P34*Contract_Register!$K$32+P72*Contract_Register!$L$32)*P110)</f>
        <v>6498.13898101601</v>
      </c>
      <c r="Q148" s="67" t="n">
        <f aca="false">IF(Q$5="A",Inputs_Actuals!Q100,(Q34*Contract_Register!$K$32+Q72*Contract_Register!$L$32)*Q110)</f>
        <v>6508.82369249491</v>
      </c>
      <c r="R148" s="67" t="n">
        <f aca="false">IF(R$5="A",Inputs_Actuals!R100,(R34*Contract_Register!$K$32+R72*Contract_Register!$L$32)*R110)</f>
        <v>6519.52746183028</v>
      </c>
      <c r="S148" s="67" t="n">
        <f aca="false">IF(S$5="A",Inputs_Actuals!S100,(S34*Contract_Register!$K$32+S72*Contract_Register!$L$32)*S110)</f>
        <v>6530.25032482628</v>
      </c>
      <c r="T148" s="67" t="n">
        <f aca="false">IF(T$5="A",Inputs_Actuals!T100,(T34*Contract_Register!$K$32+T72*Contract_Register!$L$32)*T110)</f>
        <v>6540.99231735634</v>
      </c>
      <c r="U148" s="67" t="n">
        <f aca="false">IF(U$5="A",Inputs_Actuals!U100,(U34*Contract_Register!$K$32+U72*Contract_Register!$L$32)*U110)</f>
        <v>6551.75347536334</v>
      </c>
      <c r="V148" s="67" t="n">
        <f aca="false">IF(V$5="A",Inputs_Actuals!V100,(V34*Contract_Register!$K$32+V72*Contract_Register!$L$32)*V110)</f>
        <v>6562.53383485973</v>
      </c>
      <c r="W148" s="67" t="n">
        <f aca="false">IF(W$5="A",Inputs_Actuals!W100,(W34*Contract_Register!$K$32+W72*Contract_Register!$L$32)*W110)</f>
        <v>6573.33343192765</v>
      </c>
      <c r="X148" s="67" t="n">
        <f aca="false">IF(X$5="A",Inputs_Actuals!X100,(X34*Contract_Register!$K$32+X72*Contract_Register!$L$32)*X110)</f>
        <v>6781.67687180069</v>
      </c>
      <c r="Y148" s="67" t="n">
        <f aca="false">IF(Y$5="A",Inputs_Actuals!Y100,(Y34*Contract_Register!$K$32+Y72*Contract_Register!$L$32)*Y110)</f>
        <v>6792.84019795977</v>
      </c>
      <c r="Z148" s="67" t="n">
        <f aca="false">IF(Z$5="A",Inputs_Actuals!Z100,(Z34*Contract_Register!$K$32+Z72*Contract_Register!$L$32)*Z110)</f>
        <v>6804.02345074358</v>
      </c>
      <c r="AA148" s="67" t="n">
        <f aca="false">IF(AA$5="A",Inputs_Actuals!AA100,(AA34*Contract_Register!$K$32+AA72*Contract_Register!$L$32)*AA110)</f>
        <v>6815.22666760535</v>
      </c>
      <c r="AB148" s="67" t="n">
        <f aca="false">IF(AB$5="A",Inputs_Actuals!AB100,(AB34*Contract_Register!$K$32+AB72*Contract_Register!$L$32)*AB110)</f>
        <v>6826.4498860708</v>
      </c>
    </row>
    <row r="149" customFormat="false" ht="15" hidden="false" customHeight="false" outlineLevel="0" collapsed="false">
      <c r="A149" s="27" t="s">
        <v>839</v>
      </c>
      <c r="B149" s="63" t="s">
        <v>853</v>
      </c>
      <c r="C149" s="66" t="n">
        <f aca="false">SUM(E149:P149)</f>
        <v>55807.2094205297</v>
      </c>
      <c r="D149" s="66" t="n">
        <f aca="false">SUM(Q149:AB149)</f>
        <v>59600.3637497025</v>
      </c>
      <c r="E149" s="67" t="n">
        <f aca="false">IF(E$5="A",Inputs_Actuals!E101,(E35*Contract_Register!$K$33+E73*Contract_Register!$L$33)*E111)</f>
        <v>4442</v>
      </c>
      <c r="F149" s="67" t="n">
        <f aca="false">IF(F$5="A",Inputs_Actuals!F101,(F35*Contract_Register!$K$33+F73*Contract_Register!$L$33)*F111)</f>
        <v>4557.49</v>
      </c>
      <c r="G149" s="67" t="n">
        <f aca="false">IF(G$5="A",Inputs_Actuals!G101,(G35*Contract_Register!$K$33+G73*Contract_Register!$L$33)*G111)</f>
        <v>4605.71</v>
      </c>
      <c r="H149" s="67" t="n">
        <f aca="false">IF(H$5="A",Inputs_Actuals!H101,(H35*Contract_Register!$K$33+H73*Contract_Register!$L$33)*H111)</f>
        <v>4605.71</v>
      </c>
      <c r="I149" s="67" t="n">
        <f aca="false">IF(I$5="A",Inputs_Actuals!I101,(I35*Contract_Register!$K$33+I73*Contract_Register!$L$33)*I111)</f>
        <v>4653.94</v>
      </c>
      <c r="J149" s="67" t="n">
        <f aca="false">IF(J$5="A",Inputs_Actuals!J101,(J35*Contract_Register!$K$33+J73*Contract_Register!$L$33)*J111)</f>
        <v>4653.94</v>
      </c>
      <c r="K149" s="67" t="n">
        <f aca="false">IF(K$5="A",Inputs_Actuals!K101,(K35*Contract_Register!$K$33+K73*Contract_Register!$L$33)*K111)</f>
        <v>4653.94</v>
      </c>
      <c r="L149" s="67" t="n">
        <f aca="false">IF(L$5="A",Inputs_Actuals!L101,(L35*Contract_Register!$K$33+L73*Contract_Register!$L$33)*L111)</f>
        <v>4702.16</v>
      </c>
      <c r="M149" s="67" t="n">
        <f aca="false">IF(M$5="A",Inputs_Actuals!M101,(M35*Contract_Register!$K$33+M73*Contract_Register!$L$33)*M111)</f>
        <v>4714.49355124591</v>
      </c>
      <c r="N149" s="67" t="n">
        <f aca="false">IF(N$5="A",Inputs_Actuals!N101,(N35*Contract_Register!$K$33+N73*Contract_Register!$L$33)*N111)</f>
        <v>4726.86144375242</v>
      </c>
      <c r="O149" s="67" t="n">
        <f aca="false">IF(O$5="A",Inputs_Actuals!O101,(O35*Contract_Register!$K$33+O73*Contract_Register!$L$33)*O111)</f>
        <v>4739.26377655424</v>
      </c>
      <c r="P149" s="67" t="n">
        <f aca="false">IF(P$5="A",Inputs_Actuals!P101,(P35*Contract_Register!$K$33+P73*Contract_Register!$L$33)*P111)</f>
        <v>4751.70064897716</v>
      </c>
      <c r="Q149" s="67" t="n">
        <f aca="false">IF(Q$5="A",Inputs_Actuals!Q101,(Q35*Contract_Register!$K$33+Q73*Contract_Register!$L$33)*Q111)</f>
        <v>4764.172160639</v>
      </c>
      <c r="R149" s="67" t="n">
        <f aca="false">IF(R$5="A",Inputs_Actuals!R101,(R35*Contract_Register!$K$33+R73*Contract_Register!$L$33)*R111)</f>
        <v>4919.9787637939</v>
      </c>
      <c r="S149" s="67" t="n">
        <f aca="false">IF(S$5="A",Inputs_Actuals!S101,(S35*Contract_Register!$K$33+S73*Contract_Register!$L$33)*S111)</f>
        <v>4932.89608666418</v>
      </c>
      <c r="T149" s="67" t="n">
        <f aca="false">IF(T$5="A",Inputs_Actuals!T101,(T35*Contract_Register!$K$33+T73*Contract_Register!$L$33)*T111)</f>
        <v>4945.84939758294</v>
      </c>
      <c r="U149" s="67" t="n">
        <f aca="false">IF(U$5="A",Inputs_Actuals!U101,(U35*Contract_Register!$K$33+U73*Contract_Register!$L$33)*U111)</f>
        <v>4958.83880036844</v>
      </c>
      <c r="V149" s="67" t="n">
        <f aca="false">IF(V$5="A",Inputs_Actuals!V101,(V35*Contract_Register!$K$33+V73*Contract_Register!$L$33)*V111)</f>
        <v>4971.86439914419</v>
      </c>
      <c r="W149" s="67" t="n">
        <f aca="false">IF(W$5="A",Inputs_Actuals!W101,(W35*Contract_Register!$K$33+W73*Contract_Register!$L$33)*W111)</f>
        <v>4984.92629833983</v>
      </c>
      <c r="X149" s="67" t="n">
        <f aca="false">IF(X$5="A",Inputs_Actuals!X101,(X35*Contract_Register!$K$33+X73*Contract_Register!$L$33)*X111)</f>
        <v>4998.02460269205</v>
      </c>
      <c r="Y149" s="67" t="n">
        <f aca="false">IF(Y$5="A",Inputs_Actuals!Y101,(Y35*Contract_Register!$K$33+Y73*Contract_Register!$L$33)*Y111)</f>
        <v>5011.15941724551</v>
      </c>
      <c r="Z149" s="67" t="n">
        <f aca="false">IF(Z$5="A",Inputs_Actuals!Z101,(Z35*Contract_Register!$K$33+Z73*Contract_Register!$L$33)*Z111)</f>
        <v>5024.33084735376</v>
      </c>
      <c r="AA149" s="67" t="n">
        <f aca="false">IF(AA$5="A",Inputs_Actuals!AA101,(AA35*Contract_Register!$K$33+AA73*Contract_Register!$L$33)*AA111)</f>
        <v>5037.53899868011</v>
      </c>
      <c r="AB149" s="67" t="n">
        <f aca="false">IF(AB$5="A",Inputs_Actuals!AB101,(AB35*Contract_Register!$K$33+AB73*Contract_Register!$L$33)*AB111)</f>
        <v>5050.78397719862</v>
      </c>
    </row>
    <row r="150" customFormat="false" ht="15" hidden="false" customHeight="false" outlineLevel="0" collapsed="false">
      <c r="A150" s="27" t="s">
        <v>840</v>
      </c>
      <c r="B150" s="63" t="s">
        <v>853</v>
      </c>
      <c r="C150" s="66" t="n">
        <f aca="false">SUM(E150:P150)</f>
        <v>61302.3129097849</v>
      </c>
      <c r="D150" s="66" t="n">
        <f aca="false">SUM(Q150:AB150)</f>
        <v>63435.0741139431</v>
      </c>
      <c r="E150" s="67" t="n">
        <f aca="false">IF(E$5="A",Inputs_Actuals!E102,(E36*Contract_Register!$K$34+E74*Contract_Register!$L$34)*E112)</f>
        <v>5050</v>
      </c>
      <c r="F150" s="67" t="n">
        <f aca="false">IF(F$5="A",Inputs_Actuals!F102,(F36*Contract_Register!$K$34+F74*Contract_Register!$L$34)*F112)</f>
        <v>5050</v>
      </c>
      <c r="G150" s="67" t="n">
        <f aca="false">IF(G$5="A",Inputs_Actuals!G102,(G36*Contract_Register!$K$34+G74*Contract_Register!$L$34)*G112)</f>
        <v>5091</v>
      </c>
      <c r="H150" s="67" t="n">
        <f aca="false">IF(H$5="A",Inputs_Actuals!H102,(H36*Contract_Register!$K$34+H74*Contract_Register!$L$34)*H112)</f>
        <v>5091</v>
      </c>
      <c r="I150" s="67" t="n">
        <f aca="false">IF(I$5="A",Inputs_Actuals!I102,(I36*Contract_Register!$K$34+I74*Contract_Register!$L$34)*I112)</f>
        <v>5091</v>
      </c>
      <c r="J150" s="67" t="n">
        <f aca="false">IF(J$5="A",Inputs_Actuals!J102,(J36*Contract_Register!$K$34+J74*Contract_Register!$L$34)*J112)</f>
        <v>5091</v>
      </c>
      <c r="K150" s="67" t="n">
        <f aca="false">IF(K$5="A",Inputs_Actuals!K102,(K36*Contract_Register!$K$34+K74*Contract_Register!$L$34)*K112)</f>
        <v>5091</v>
      </c>
      <c r="L150" s="67" t="n">
        <f aca="false">IF(L$5="A",Inputs_Actuals!L102,(L36*Contract_Register!$K$34+L74*Contract_Register!$L$34)*L112)</f>
        <v>5050</v>
      </c>
      <c r="M150" s="67" t="n">
        <f aca="false">IF(M$5="A",Inputs_Actuals!M102,(M36*Contract_Register!$K$34+M74*Contract_Register!$L$34)*M112)</f>
        <v>5054.165</v>
      </c>
      <c r="N150" s="67" t="n">
        <f aca="false">IF(N$5="A",Inputs_Actuals!N102,(N36*Contract_Register!$K$34+N74*Contract_Register!$L$34)*N112)</f>
        <v>5210.083734175</v>
      </c>
      <c r="O150" s="67" t="n">
        <f aca="false">IF(O$5="A",Inputs_Actuals!O102,(O36*Contract_Register!$K$34+O74*Contract_Register!$L$34)*O112)</f>
        <v>5214.38135613129</v>
      </c>
      <c r="P150" s="67" t="n">
        <f aca="false">IF(P$5="A",Inputs_Actuals!P102,(P36*Contract_Register!$K$34+P74*Contract_Register!$L$34)*P112)</f>
        <v>5218.68281947864</v>
      </c>
      <c r="Q150" s="67" t="n">
        <f aca="false">IF(Q$5="A",Inputs_Actuals!Q102,(Q36*Contract_Register!$K$34+Q74*Contract_Register!$L$34)*Q112)</f>
        <v>5222.98812783034</v>
      </c>
      <c r="R150" s="67" t="n">
        <f aca="false">IF(R$5="A",Inputs_Actuals!R102,(R36*Contract_Register!$K$34+R74*Contract_Register!$L$34)*R112)</f>
        <v>5227.29728480315</v>
      </c>
      <c r="S150" s="67" t="n">
        <f aca="false">IF(S$5="A",Inputs_Actuals!S102,(S36*Contract_Register!$K$34+S74*Contract_Register!$L$34)*S112)</f>
        <v>5231.61029401736</v>
      </c>
      <c r="T150" s="67" t="n">
        <f aca="false">IF(T$5="A",Inputs_Actuals!T102,(T36*Contract_Register!$K$34+T74*Contract_Register!$L$34)*T112)</f>
        <v>5235.92715909675</v>
      </c>
      <c r="U150" s="67" t="n">
        <f aca="false">IF(U$5="A",Inputs_Actuals!U102,(U36*Contract_Register!$K$34+U74*Contract_Register!$L$34)*U112)</f>
        <v>5240.24788366861</v>
      </c>
      <c r="V150" s="67" t="n">
        <f aca="false">IF(V$5="A",Inputs_Actuals!V102,(V36*Contract_Register!$K$34+V74*Contract_Register!$L$34)*V112)</f>
        <v>5244.57247136375</v>
      </c>
      <c r="W150" s="67" t="n">
        <f aca="false">IF(W$5="A",Inputs_Actuals!W102,(W36*Contract_Register!$K$34+W74*Contract_Register!$L$34)*W112)</f>
        <v>5248.90092581649</v>
      </c>
      <c r="X150" s="67" t="n">
        <f aca="false">IF(X$5="A",Inputs_Actuals!X102,(X36*Contract_Register!$K$34+X74*Contract_Register!$L$34)*X112)</f>
        <v>5253.23325066468</v>
      </c>
      <c r="Y150" s="67" t="n">
        <f aca="false">IF(Y$5="A",Inputs_Actuals!Y102,(Y36*Contract_Register!$K$34+Y74*Contract_Register!$L$34)*Y112)</f>
        <v>5257.56944954967</v>
      </c>
      <c r="Z150" s="67" t="n">
        <f aca="false">IF(Z$5="A",Inputs_Actuals!Z102,(Z36*Contract_Register!$K$34+Z74*Contract_Register!$L$34)*Z112)</f>
        <v>5419.76681189986</v>
      </c>
      <c r="AA150" s="67" t="n">
        <f aca="false">IF(AA$5="A",Inputs_Actuals!AA102,(AA36*Contract_Register!$K$34+AA74*Contract_Register!$L$34)*AA112)</f>
        <v>5424.24108853358</v>
      </c>
      <c r="AB150" s="67" t="n">
        <f aca="false">IF(AB$5="A",Inputs_Actuals!AB102,(AB36*Contract_Register!$K$34+AB74*Contract_Register!$L$34)*AB112)</f>
        <v>5428.71936669885</v>
      </c>
    </row>
    <row r="151" customFormat="false" ht="15" hidden="false" customHeight="false" outlineLevel="0" collapsed="false">
      <c r="A151" s="27" t="s">
        <v>841</v>
      </c>
      <c r="B151" s="63" t="s">
        <v>853</v>
      </c>
      <c r="C151" s="66" t="n">
        <f aca="false">SUM(E151:P151)</f>
        <v>73231.2045676608</v>
      </c>
      <c r="D151" s="66" t="n">
        <f aca="false">SUM(Q151:AB151)</f>
        <v>67643.5581180052</v>
      </c>
      <c r="E151" s="67" t="n">
        <f aca="false">IF(E$5="A",Inputs_Actuals!E103,(E37*Contract_Register!$K$35+E75*Contract_Register!$L$35)*E113)</f>
        <v>6150</v>
      </c>
      <c r="F151" s="67" t="n">
        <f aca="false">IF(F$5="A",Inputs_Actuals!F103,(F37*Contract_Register!$K$35+F75*Contract_Register!$L$35)*F113)</f>
        <v>6150</v>
      </c>
      <c r="G151" s="67" t="n">
        <f aca="false">IF(G$5="A",Inputs_Actuals!G103,(G37*Contract_Register!$K$35+G75*Contract_Register!$L$35)*G113)</f>
        <v>6150</v>
      </c>
      <c r="H151" s="67" t="n">
        <f aca="false">IF(H$5="A",Inputs_Actuals!H103,(H37*Contract_Register!$K$35+H75*Contract_Register!$L$35)*H113)</f>
        <v>6150</v>
      </c>
      <c r="I151" s="67" t="n">
        <f aca="false">IF(I$5="A",Inputs_Actuals!I103,(I37*Contract_Register!$K$35+I75*Contract_Register!$L$35)*I113)</f>
        <v>6150</v>
      </c>
      <c r="J151" s="67" t="n">
        <f aca="false">IF(J$5="A",Inputs_Actuals!J103,(J37*Contract_Register!$K$35+J75*Contract_Register!$L$35)*J113)</f>
        <v>6150</v>
      </c>
      <c r="K151" s="67" t="n">
        <f aca="false">IF(K$5="A",Inputs_Actuals!K103,(K37*Contract_Register!$K$35+K75*Contract_Register!$L$35)*K113)</f>
        <v>6108</v>
      </c>
      <c r="L151" s="67" t="n">
        <f aca="false">IF(L$5="A",Inputs_Actuals!L103,(L37*Contract_Register!$K$35+L75*Contract_Register!$L$35)*L113)</f>
        <v>6150</v>
      </c>
      <c r="M151" s="67" t="n">
        <f aca="false">IF(M$5="A",Inputs_Actuals!M103,(M37*Contract_Register!$K$35+M75*Contract_Register!$L$35)*M113)</f>
        <v>6155.07</v>
      </c>
      <c r="N151" s="67" t="n">
        <f aca="false">IF(N$5="A",Inputs_Actuals!N103,(N37*Contract_Register!$K$35+N75*Contract_Register!$L$35)*N113)</f>
        <v>6160.14453</v>
      </c>
      <c r="O151" s="67" t="n">
        <f aca="false">IF(O$5="A",Inputs_Actuals!O103,(O37*Contract_Register!$K$35+O75*Contract_Register!$L$35)*O113)</f>
        <v>6165.22359426</v>
      </c>
      <c r="P151" s="67" t="n">
        <f aca="false">IF(P$5="A",Inputs_Actuals!P103,(P37*Contract_Register!$K$35+P75*Contract_Register!$L$35)*P113)</f>
        <v>5592.76644340079</v>
      </c>
      <c r="Q151" s="67" t="n">
        <f aca="false">IF(Q$5="A",Inputs_Actuals!Q103,(Q37*Contract_Register!$K$35+Q75*Contract_Register!$L$35)*Q113)</f>
        <v>5597.37833855134</v>
      </c>
      <c r="R151" s="67" t="n">
        <f aca="false">IF(R$5="A",Inputs_Actuals!R103,(R37*Contract_Register!$K$35+R75*Contract_Register!$L$35)*R113)</f>
        <v>5601.99435516138</v>
      </c>
      <c r="S151" s="67" t="n">
        <f aca="false">IF(S$5="A",Inputs_Actuals!S103,(S37*Contract_Register!$K$35+S75*Contract_Register!$L$35)*S113)</f>
        <v>5606.61449710718</v>
      </c>
      <c r="T151" s="67" t="n">
        <f aca="false">IF(T$5="A",Inputs_Actuals!T103,(T37*Contract_Register!$K$35+T75*Contract_Register!$L$35)*T113)</f>
        <v>5611.23876826871</v>
      </c>
      <c r="U151" s="67" t="n">
        <f aca="false">IF(U$5="A",Inputs_Actuals!U103,(U37*Contract_Register!$K$35+U75*Contract_Register!$L$35)*U113)</f>
        <v>5615.86717252974</v>
      </c>
      <c r="V151" s="67" t="n">
        <f aca="false">IF(V$5="A",Inputs_Actuals!V103,(V37*Contract_Register!$K$35+V75*Contract_Register!$L$35)*V113)</f>
        <v>5620.49971377777</v>
      </c>
      <c r="W151" s="67" t="n">
        <f aca="false">IF(W$5="A",Inputs_Actuals!W103,(W37*Contract_Register!$K$35+W75*Contract_Register!$L$35)*W113)</f>
        <v>5625.13639590409</v>
      </c>
      <c r="X151" s="67" t="n">
        <f aca="false">IF(X$5="A",Inputs_Actuals!X103,(X37*Contract_Register!$K$35+X75*Contract_Register!$L$35)*X113)</f>
        <v>5629.77722280375</v>
      </c>
      <c r="Y151" s="67" t="n">
        <f aca="false">IF(Y$5="A",Inputs_Actuals!Y103,(Y37*Contract_Register!$K$35+Y75*Contract_Register!$L$35)*Y113)</f>
        <v>5634.42219837555</v>
      </c>
      <c r="Z151" s="67" t="n">
        <f aca="false">IF(Z$5="A",Inputs_Actuals!Z103,(Z37*Contract_Register!$K$35+Z75*Contract_Register!$L$35)*Z113)</f>
        <v>5639.0713265221</v>
      </c>
      <c r="AA151" s="67" t="n">
        <f aca="false">IF(AA$5="A",Inputs_Actuals!AA103,(AA37*Contract_Register!$K$35+AA75*Contract_Register!$L$35)*AA113)</f>
        <v>5643.72461114977</v>
      </c>
      <c r="AB151" s="67" t="n">
        <f aca="false">IF(AB$5="A",Inputs_Actuals!AB103,(AB37*Contract_Register!$K$35+AB75*Contract_Register!$L$35)*AB113)</f>
        <v>5817.83351785378</v>
      </c>
    </row>
    <row r="152" customFormat="false" ht="15" hidden="false" customHeight="false" outlineLevel="0" collapsed="false">
      <c r="A152" s="27" t="s">
        <v>842</v>
      </c>
      <c r="B152" s="63" t="s">
        <v>853</v>
      </c>
      <c r="C152" s="66" t="n">
        <f aca="false">SUM(E152:P152)</f>
        <v>45681.1090530246</v>
      </c>
      <c r="D152" s="66" t="n">
        <f aca="false">SUM(Q152:AB152)</f>
        <v>46116.1111594345</v>
      </c>
      <c r="E152" s="67" t="n">
        <f aca="false">IF(E$5="A",Inputs_Actuals!E104,(E38*Contract_Register!$K$36+E76*Contract_Register!$L$36)*E114)</f>
        <v>3715</v>
      </c>
      <c r="F152" s="67" t="n">
        <f aca="false">IF(F$5="A",Inputs_Actuals!F104,(F38*Contract_Register!$K$36+F76*Contract_Register!$L$36)*F114)</f>
        <v>3715</v>
      </c>
      <c r="G152" s="67" t="n">
        <f aca="false">IF(G$5="A",Inputs_Actuals!G104,(G38*Contract_Register!$K$36+G76*Contract_Register!$L$36)*G114)</f>
        <v>3760</v>
      </c>
      <c r="H152" s="67" t="n">
        <f aca="false">IF(H$5="A",Inputs_Actuals!H104,(H38*Contract_Register!$K$36+H76*Contract_Register!$L$36)*H114)</f>
        <v>3760</v>
      </c>
      <c r="I152" s="67" t="n">
        <f aca="false">IF(I$5="A",Inputs_Actuals!I104,(I38*Contract_Register!$K$36+I76*Contract_Register!$L$36)*I114)</f>
        <v>3760</v>
      </c>
      <c r="J152" s="67" t="n">
        <f aca="false">IF(J$5="A",Inputs_Actuals!J104,(J38*Contract_Register!$K$36+J76*Contract_Register!$L$36)*J114)</f>
        <v>3760</v>
      </c>
      <c r="K152" s="67" t="n">
        <f aca="false">IF(K$5="A",Inputs_Actuals!K104,(K38*Contract_Register!$K$36+K76*Contract_Register!$L$36)*K114)</f>
        <v>3857.76</v>
      </c>
      <c r="L152" s="67" t="n">
        <f aca="false">IF(L$5="A",Inputs_Actuals!L104,(L38*Contract_Register!$K$36+L76*Contract_Register!$L$36)*L114)</f>
        <v>3857.76</v>
      </c>
      <c r="M152" s="67" t="n">
        <f aca="false">IF(M$5="A",Inputs_Actuals!M104,(M38*Contract_Register!$K$36+M76*Contract_Register!$L$36)*M114)</f>
        <v>3864.20328</v>
      </c>
      <c r="N152" s="67" t="n">
        <f aca="false">IF(N$5="A",Inputs_Actuals!N104,(N38*Contract_Register!$K$36+N76*Contract_Register!$L$36)*N114)</f>
        <v>3870.65817432</v>
      </c>
      <c r="O152" s="67" t="n">
        <f aca="false">IF(O$5="A",Inputs_Actuals!O104,(O38*Contract_Register!$K$36+O76*Contract_Register!$L$36)*O114)</f>
        <v>3877.1247049164</v>
      </c>
      <c r="P152" s="67" t="n">
        <f aca="false">IF(P$5="A",Inputs_Actuals!P104,(P38*Contract_Register!$K$36+P76*Contract_Register!$L$36)*P114)</f>
        <v>3883.60289378824</v>
      </c>
      <c r="Q152" s="67" t="n">
        <f aca="false">IF(Q$5="A",Inputs_Actuals!Q104,(Q38*Contract_Register!$K$36+Q76*Contract_Register!$L$36)*Q114)</f>
        <v>3890.09276297729</v>
      </c>
      <c r="R152" s="67" t="n">
        <f aca="false">IF(R$5="A",Inputs_Actuals!R104,(R38*Contract_Register!$K$36+R76*Contract_Register!$L$36)*R114)</f>
        <v>3896.59433456811</v>
      </c>
      <c r="S152" s="67" t="n">
        <f aca="false">IF(S$5="A",Inputs_Actuals!S104,(S38*Contract_Register!$K$36+S76*Contract_Register!$L$36)*S114)</f>
        <v>3903.10763068818</v>
      </c>
      <c r="T152" s="67" t="n">
        <f aca="false">IF(T$5="A",Inputs_Actuals!T104,(T38*Contract_Register!$K$36+T76*Contract_Register!$L$36)*T114)</f>
        <v>3909.63267350795</v>
      </c>
      <c r="U152" s="67" t="n">
        <f aca="false">IF(U$5="A",Inputs_Actuals!U104,(U38*Contract_Register!$K$36+U76*Contract_Register!$L$36)*U114)</f>
        <v>3916.16948524091</v>
      </c>
      <c r="V152" s="67" t="n">
        <f aca="false">IF(V$5="A",Inputs_Actuals!V104,(V38*Contract_Register!$K$36+V76*Contract_Register!$L$36)*V114)</f>
        <v>3922.71808814372</v>
      </c>
      <c r="W152" s="67" t="n">
        <f aca="false">IF(W$5="A",Inputs_Actuals!W104,(W38*Contract_Register!$K$36+W76*Contract_Register!$L$36)*W114)</f>
        <v>3763.85587947614</v>
      </c>
      <c r="X152" s="67" t="n">
        <f aca="false">IF(X$5="A",Inputs_Actuals!X104,(X38*Contract_Register!$K$36+X76*Contract_Register!$L$36)*X114)</f>
        <v>3770.15143984462</v>
      </c>
      <c r="Y152" s="67" t="n">
        <f aca="false">IF(Y$5="A",Inputs_Actuals!Y104,(Y38*Contract_Register!$K$36+Y76*Contract_Register!$L$36)*Y114)</f>
        <v>3776.45835918245</v>
      </c>
      <c r="Z152" s="67" t="n">
        <f aca="false">IF(Z$5="A",Inputs_Actuals!Z104,(Z38*Contract_Register!$K$36+Z76*Contract_Register!$L$36)*Z114)</f>
        <v>3782.77665897541</v>
      </c>
      <c r="AA152" s="67" t="n">
        <f aca="false">IF(AA$5="A",Inputs_Actuals!AA104,(AA38*Contract_Register!$K$36+AA76*Contract_Register!$L$36)*AA114)</f>
        <v>3789.10636075104</v>
      </c>
      <c r="AB152" s="67" t="n">
        <f aca="false">IF(AB$5="A",Inputs_Actuals!AB104,(AB38*Contract_Register!$K$36+AB76*Contract_Register!$L$36)*AB114)</f>
        <v>3795.44748607867</v>
      </c>
    </row>
    <row r="153" customFormat="false" ht="15" hidden="false" customHeight="false" outlineLevel="0" collapsed="false">
      <c r="A153" s="27" t="s">
        <v>843</v>
      </c>
      <c r="B153" s="63" t="s">
        <v>853</v>
      </c>
      <c r="C153" s="66" t="n">
        <f aca="false">SUM(E153:P153)</f>
        <v>53401.1633733412</v>
      </c>
      <c r="D153" s="66" t="n">
        <f aca="false">SUM(Q153:AB153)</f>
        <v>68308.4076926485</v>
      </c>
      <c r="E153" s="67" t="n">
        <f aca="false">IF(E$5="A",Inputs_Actuals!E105,(E39*Contract_Register!$K$37+E77*Contract_Register!$L$37)*E115)</f>
        <v>0</v>
      </c>
      <c r="F153" s="67" t="n">
        <f aca="false">IF(F$5="A",Inputs_Actuals!F105,(F39*Contract_Register!$K$37+F77*Contract_Register!$L$37)*F115)</f>
        <v>0</v>
      </c>
      <c r="G153" s="67" t="n">
        <f aca="false">IF(G$5="A",Inputs_Actuals!G105,(G39*Contract_Register!$K$37+G77*Contract_Register!$L$37)*G115)</f>
        <v>5256</v>
      </c>
      <c r="H153" s="67" t="n">
        <f aca="false">IF(H$5="A",Inputs_Actuals!H105,(H39*Contract_Register!$K$37+H77*Contract_Register!$L$37)*H115)</f>
        <v>5256</v>
      </c>
      <c r="I153" s="67" t="n">
        <f aca="false">IF(I$5="A",Inputs_Actuals!I105,(I39*Contract_Register!$K$37+I77*Contract_Register!$L$37)*I115)</f>
        <v>5300</v>
      </c>
      <c r="J153" s="67" t="n">
        <f aca="false">IF(J$5="A",Inputs_Actuals!J105,(J39*Contract_Register!$K$37+J77*Contract_Register!$L$37)*J115)</f>
        <v>5300</v>
      </c>
      <c r="K153" s="67" t="n">
        <f aca="false">IF(K$5="A",Inputs_Actuals!K105,(K39*Contract_Register!$K$37+K77*Contract_Register!$L$37)*K115)</f>
        <v>5300</v>
      </c>
      <c r="L153" s="67" t="n">
        <f aca="false">IF(L$5="A",Inputs_Actuals!L105,(L39*Contract_Register!$K$37+L77*Contract_Register!$L$37)*L115)</f>
        <v>5362</v>
      </c>
      <c r="M153" s="67" t="n">
        <f aca="false">IF(M$5="A",Inputs_Actuals!M105,(M39*Contract_Register!$K$37+M77*Contract_Register!$L$37)*M115)</f>
        <v>5379.852</v>
      </c>
      <c r="N153" s="67" t="n">
        <f aca="false">IF(N$5="A",Inputs_Actuals!N105,(N39*Contract_Register!$K$37+N77*Contract_Register!$L$37)*N115)</f>
        <v>5397.768216</v>
      </c>
      <c r="O153" s="67" t="n">
        <f aca="false">IF(O$5="A",Inputs_Actuals!O105,(O39*Contract_Register!$K$37+O77*Contract_Register!$L$37)*O115)</f>
        <v>5415.74889048</v>
      </c>
      <c r="P153" s="67" t="n">
        <f aca="false">IF(P$5="A",Inputs_Actuals!P105,(P39*Contract_Register!$K$37+P77*Contract_Register!$L$37)*P115)</f>
        <v>5433.79426686115</v>
      </c>
      <c r="Q153" s="67" t="n">
        <f aca="false">IF(Q$5="A",Inputs_Actuals!Q105,(Q39*Contract_Register!$K$37+Q77*Contract_Register!$L$37)*Q115)</f>
        <v>5451.90458950947</v>
      </c>
      <c r="R153" s="67" t="n">
        <f aca="false">IF(R$5="A",Inputs_Actuals!R105,(R39*Contract_Register!$K$37+R77*Contract_Register!$L$37)*R115)</f>
        <v>5470.08010373954</v>
      </c>
      <c r="S153" s="67" t="n">
        <f aca="false">IF(S$5="A",Inputs_Actuals!S105,(S39*Contract_Register!$K$37+S77*Contract_Register!$L$37)*S115)</f>
        <v>5652.97068749282</v>
      </c>
      <c r="T153" s="67" t="n">
        <f aca="false">IF(T$5="A",Inputs_Actuals!T105,(T39*Contract_Register!$K$37+T77*Contract_Register!$L$37)*T115)</f>
        <v>5671.82652375771</v>
      </c>
      <c r="U153" s="67" t="n">
        <f aca="false">IF(U$5="A",Inputs_Actuals!U105,(U39*Contract_Register!$K$37+U77*Contract_Register!$L$37)*U115)</f>
        <v>5690.75027127469</v>
      </c>
      <c r="V153" s="67" t="n">
        <f aca="false">IF(V$5="A",Inputs_Actuals!V105,(V39*Contract_Register!$K$37+V77*Contract_Register!$L$37)*V115)</f>
        <v>5709.74218666458</v>
      </c>
      <c r="W153" s="67" t="n">
        <f aca="false">IF(W$5="A",Inputs_Actuals!W105,(W39*Contract_Register!$K$37+W77*Contract_Register!$L$37)*W115)</f>
        <v>5728.80252754463</v>
      </c>
      <c r="X153" s="67" t="n">
        <f aca="false">IF(X$5="A",Inputs_Actuals!X105,(X39*Contract_Register!$K$37+X77*Contract_Register!$L$37)*X115)</f>
        <v>5747.93155253248</v>
      </c>
      <c r="Y153" s="67" t="n">
        <f aca="false">IF(Y$5="A",Inputs_Actuals!Y105,(Y39*Contract_Register!$K$37+Y77*Contract_Register!$L$37)*Y115)</f>
        <v>5767.12952125003</v>
      </c>
      <c r="Z153" s="67" t="n">
        <f aca="false">IF(Z$5="A",Inputs_Actuals!Z105,(Z39*Contract_Register!$K$37+Z77*Contract_Register!$L$37)*Z115)</f>
        <v>5786.39669432747</v>
      </c>
      <c r="AA153" s="67" t="n">
        <f aca="false">IF(AA$5="A",Inputs_Actuals!AA105,(AA39*Contract_Register!$K$37+AA77*Contract_Register!$L$37)*AA115)</f>
        <v>5805.7333334072</v>
      </c>
      <c r="AB153" s="67" t="n">
        <f aca="false">IF(AB$5="A",Inputs_Actuals!AB105,(AB39*Contract_Register!$K$37+AB77*Contract_Register!$L$37)*AB115)</f>
        <v>5825.13970114786</v>
      </c>
    </row>
    <row r="154" customFormat="false" ht="15" hidden="false" customHeight="false" outlineLevel="0" collapsed="false">
      <c r="A154" s="27" t="s">
        <v>844</v>
      </c>
      <c r="B154" s="63" t="s">
        <v>853</v>
      </c>
      <c r="C154" s="66" t="n">
        <f aca="false">SUM(E154:P154)</f>
        <v>34311.8221550482</v>
      </c>
      <c r="D154" s="66" t="n">
        <f aca="false">SUM(Q154:AB154)</f>
        <v>54349.3250018506</v>
      </c>
      <c r="E154" s="67" t="n">
        <f aca="false">IF(E$5="A",Inputs_Actuals!E106,(E40*Contract_Register!$K$38+E78*Contract_Register!$L$38)*E116)</f>
        <v>0</v>
      </c>
      <c r="F154" s="67" t="n">
        <f aca="false">IF(F$5="A",Inputs_Actuals!F106,(F40*Contract_Register!$K$38+F78*Contract_Register!$L$38)*F116)</f>
        <v>0</v>
      </c>
      <c r="G154" s="67" t="n">
        <f aca="false">IF(G$5="A",Inputs_Actuals!G106,(G40*Contract_Register!$K$38+G78*Contract_Register!$L$38)*G116)</f>
        <v>0</v>
      </c>
      <c r="H154" s="67" t="n">
        <f aca="false">IF(H$5="A",Inputs_Actuals!H106,(H40*Contract_Register!$K$38+H78*Contract_Register!$L$38)*H116)</f>
        <v>0</v>
      </c>
      <c r="I154" s="67" t="n">
        <f aca="false">IF(I$5="A",Inputs_Actuals!I106,(I40*Contract_Register!$K$38+I78*Contract_Register!$L$38)*I116)</f>
        <v>4236</v>
      </c>
      <c r="J154" s="67" t="n">
        <f aca="false">IF(J$5="A",Inputs_Actuals!J106,(J40*Contract_Register!$K$38+J78*Contract_Register!$L$38)*J116)</f>
        <v>4236</v>
      </c>
      <c r="K154" s="67" t="n">
        <f aca="false">IF(K$5="A",Inputs_Actuals!K106,(K40*Contract_Register!$K$38+K78*Contract_Register!$L$38)*K116)</f>
        <v>4282</v>
      </c>
      <c r="L154" s="67" t="n">
        <f aca="false">IF(L$5="A",Inputs_Actuals!L106,(L40*Contract_Register!$K$38+L78*Contract_Register!$L$38)*L116)</f>
        <v>4282</v>
      </c>
      <c r="M154" s="67" t="n">
        <f aca="false">IF(M$5="A",Inputs_Actuals!M106,(M40*Contract_Register!$K$38+M78*Contract_Register!$L$38)*M116)</f>
        <v>4296.728</v>
      </c>
      <c r="N154" s="67" t="n">
        <f aca="false">IF(N$5="A",Inputs_Actuals!N106,(N40*Contract_Register!$K$38+N78*Contract_Register!$L$38)*N116)</f>
        <v>4311.510112</v>
      </c>
      <c r="O154" s="67" t="n">
        <f aca="false">IF(O$5="A",Inputs_Actuals!O106,(O40*Contract_Register!$K$38+O78*Contract_Register!$L$38)*O116)</f>
        <v>4326.346542848</v>
      </c>
      <c r="P154" s="67" t="n">
        <f aca="false">IF(P$5="A",Inputs_Actuals!P106,(P40*Contract_Register!$K$38+P78*Contract_Register!$L$38)*P116)</f>
        <v>4341.23750020019</v>
      </c>
      <c r="Q154" s="67" t="n">
        <f aca="false">IF(Q$5="A",Inputs_Actuals!Q106,(Q40*Contract_Register!$K$38+Q78*Contract_Register!$L$38)*Q116)</f>
        <v>4356.18319252415</v>
      </c>
      <c r="R154" s="67" t="n">
        <f aca="false">IF(R$5="A",Inputs_Actuals!R106,(R40*Contract_Register!$K$38+R78*Contract_Register!$L$38)*R116)</f>
        <v>4371.18382910206</v>
      </c>
      <c r="S154" s="67" t="n">
        <f aca="false">IF(S$5="A",Inputs_Actuals!S106,(S40*Contract_Register!$K$38+S78*Contract_Register!$L$38)*S116)</f>
        <v>4386.23962003389</v>
      </c>
      <c r="T154" s="67" t="n">
        <f aca="false">IF(T$5="A",Inputs_Actuals!T106,(T40*Contract_Register!$K$38+T78*Contract_Register!$L$38)*T116)</f>
        <v>4401.35077624068</v>
      </c>
      <c r="U154" s="67" t="n">
        <f aca="false">IF(U$5="A",Inputs_Actuals!U106,(U40*Contract_Register!$K$38+U78*Contract_Register!$L$38)*U116)</f>
        <v>4549.01303475178</v>
      </c>
      <c r="V154" s="67" t="n">
        <f aca="false">IF(V$5="A",Inputs_Actuals!V106,(V40*Contract_Register!$K$38+V78*Contract_Register!$L$38)*V116)</f>
        <v>4564.69223325661</v>
      </c>
      <c r="W154" s="67" t="n">
        <f aca="false">IF(W$5="A",Inputs_Actuals!W106,(W40*Contract_Register!$K$38+W78*Contract_Register!$L$38)*W116)</f>
        <v>4580.42911484819</v>
      </c>
      <c r="X154" s="67" t="n">
        <f aca="false">IF(X$5="A",Inputs_Actuals!X106,(X40*Contract_Register!$K$38+X78*Contract_Register!$L$38)*X116)</f>
        <v>4596.22390019146</v>
      </c>
      <c r="Y154" s="67" t="n">
        <f aca="false">IF(Y$5="A",Inputs_Actuals!Y106,(Y40*Contract_Register!$K$38+Y78*Contract_Register!$L$38)*Y116)</f>
        <v>4612.07681081386</v>
      </c>
      <c r="Z154" s="67" t="n">
        <f aca="false">IF(Z$5="A",Inputs_Actuals!Z106,(Z40*Contract_Register!$K$38+Z78*Contract_Register!$L$38)*Z116)</f>
        <v>4627.9880691088</v>
      </c>
      <c r="AA154" s="67" t="n">
        <f aca="false">IF(AA$5="A",Inputs_Actuals!AA106,(AA40*Contract_Register!$K$38+AA78*Contract_Register!$L$38)*AA116)</f>
        <v>4643.95789833902</v>
      </c>
      <c r="AB154" s="67" t="n">
        <f aca="false">IF(AB$5="A",Inputs_Actuals!AB106,(AB40*Contract_Register!$K$38+AB78*Contract_Register!$L$38)*AB116)</f>
        <v>4659.98652264007</v>
      </c>
    </row>
    <row r="155" customFormat="false" ht="15" hidden="false" customHeight="false" outlineLevel="0" collapsed="false">
      <c r="A155" s="27" t="s">
        <v>845</v>
      </c>
      <c r="B155" s="63" t="s">
        <v>853</v>
      </c>
      <c r="C155" s="66" t="n">
        <f aca="false">SUM(E155:P155)</f>
        <v>38817.2173970995</v>
      </c>
      <c r="D155" s="66" t="n">
        <f aca="false">SUM(Q155:AB155)</f>
        <v>80683.0539311434</v>
      </c>
      <c r="E155" s="67" t="n">
        <f aca="false">IF(E$5="A",Inputs_Actuals!E107,(E41*Contract_Register!$K$39+E79*Contract_Register!$L$39)*E117)</f>
        <v>0</v>
      </c>
      <c r="F155" s="67" t="n">
        <f aca="false">IF(F$5="A",Inputs_Actuals!F107,(F41*Contract_Register!$K$39+F79*Contract_Register!$L$39)*F117)</f>
        <v>0</v>
      </c>
      <c r="G155" s="67" t="n">
        <f aca="false">IF(G$5="A",Inputs_Actuals!G107,(G41*Contract_Register!$K$39+G79*Contract_Register!$L$39)*G117)</f>
        <v>0</v>
      </c>
      <c r="H155" s="67" t="n">
        <f aca="false">IF(H$5="A",Inputs_Actuals!H107,(H41*Contract_Register!$K$39+H79*Contract_Register!$L$39)*H117)</f>
        <v>0</v>
      </c>
      <c r="I155" s="67" t="n">
        <f aca="false">IF(I$5="A",Inputs_Actuals!I107,(I41*Contract_Register!$K$39+I79*Contract_Register!$L$39)*I117)</f>
        <v>0</v>
      </c>
      <c r="J155" s="67" t="n">
        <f aca="false">IF(J$5="A",Inputs_Actuals!J107,(J41*Contract_Register!$K$39+J79*Contract_Register!$L$39)*J117)</f>
        <v>0</v>
      </c>
      <c r="K155" s="67" t="n">
        <f aca="false">IF(K$5="A",Inputs_Actuals!K107,(K41*Contract_Register!$K$39+K79*Contract_Register!$L$39)*K117)</f>
        <v>6408</v>
      </c>
      <c r="L155" s="67" t="n">
        <f aca="false">IF(L$5="A",Inputs_Actuals!L107,(L41*Contract_Register!$K$39+L79*Contract_Register!$L$39)*L117)</f>
        <v>6449</v>
      </c>
      <c r="M155" s="67" t="n">
        <f aca="false">IF(M$5="A",Inputs_Actuals!M107,(M41*Contract_Register!$K$39+M79*Contract_Register!$L$39)*M117)</f>
        <v>6465.377</v>
      </c>
      <c r="N155" s="67" t="n">
        <f aca="false">IF(N$5="A",Inputs_Actuals!N107,(N41*Contract_Register!$K$39+N79*Contract_Register!$L$39)*N117)</f>
        <v>6481.798676</v>
      </c>
      <c r="O155" s="67" t="n">
        <f aca="false">IF(O$5="A",Inputs_Actuals!O107,(O41*Contract_Register!$K$39+O79*Contract_Register!$L$39)*O117)</f>
        <v>6498.2651553455</v>
      </c>
      <c r="P155" s="67" t="n">
        <f aca="false">IF(P$5="A",Inputs_Actuals!P107,(P41*Contract_Register!$K$39+P79*Contract_Register!$L$39)*P117)</f>
        <v>6514.77656575401</v>
      </c>
      <c r="Q155" s="67" t="n">
        <f aca="false">IF(Q$5="A",Inputs_Actuals!Q107,(Q41*Contract_Register!$K$39+Q79*Contract_Register!$L$39)*Q117)</f>
        <v>6531.33303531616</v>
      </c>
      <c r="R155" s="67" t="n">
        <f aca="false">IF(R$5="A",Inputs_Actuals!R107,(R41*Contract_Register!$K$39+R79*Contract_Register!$L$39)*R117)</f>
        <v>6547.9346924968</v>
      </c>
      <c r="S155" s="67" t="n">
        <f aca="false">IF(S$5="A",Inputs_Actuals!S107,(S41*Contract_Register!$K$39+S79*Contract_Register!$L$39)*S117)</f>
        <v>6564.58166613609</v>
      </c>
      <c r="T155" s="67" t="n">
        <f aca="false">IF(T$5="A",Inputs_Actuals!T107,(T41*Contract_Register!$K$39+T79*Contract_Register!$L$39)*T117)</f>
        <v>6581.27408545064</v>
      </c>
      <c r="U155" s="67" t="n">
        <f aca="false">IF(U$5="A",Inputs_Actuals!U107,(U41*Contract_Register!$K$39+U79*Contract_Register!$L$39)*U117)</f>
        <v>6598.01208003461</v>
      </c>
      <c r="V155" s="67" t="n">
        <f aca="false">IF(V$5="A",Inputs_Actuals!V107,(V41*Contract_Register!$K$39+V79*Contract_Register!$L$39)*V117)</f>
        <v>6614.79577986082</v>
      </c>
      <c r="W155" s="67" t="n">
        <f aca="false">IF(W$5="A",Inputs_Actuals!W107,(W41*Contract_Register!$K$39+W79*Contract_Register!$L$39)*W117)</f>
        <v>6830.57407474034</v>
      </c>
      <c r="X155" s="67" t="n">
        <f aca="false">IF(X$5="A",Inputs_Actuals!X107,(X41*Contract_Register!$K$39+X79*Contract_Register!$L$39)*X117)</f>
        <v>6847.95584154228</v>
      </c>
      <c r="Y155" s="67" t="n">
        <f aca="false">IF(Y$5="A",Inputs_Actuals!Y107,(Y41*Contract_Register!$K$39+Y79*Contract_Register!$L$39)*Y117)</f>
        <v>6865.38508871149</v>
      </c>
      <c r="Z155" s="67" t="n">
        <f aca="false">IF(Z$5="A",Inputs_Actuals!Z107,(Z41*Contract_Register!$K$39+Z79*Contract_Register!$L$39)*Z117)</f>
        <v>6882.86195169168</v>
      </c>
      <c r="AA155" s="67" t="n">
        <f aca="false">IF(AA$5="A",Inputs_Actuals!AA107,(AA41*Contract_Register!$K$39+AA79*Contract_Register!$L$39)*AA117)</f>
        <v>6900.38656632237</v>
      </c>
      <c r="AB155" s="67" t="n">
        <f aca="false">IF(AB$5="A",Inputs_Actuals!AB107,(AB41*Contract_Register!$K$39+AB79*Contract_Register!$L$39)*AB117)</f>
        <v>6917.95906884012</v>
      </c>
    </row>
    <row r="156" customFormat="false" ht="15" hidden="false" customHeight="false" outlineLevel="0" collapsed="false">
      <c r="A156" s="27" t="s">
        <v>854</v>
      </c>
      <c r="B156" s="63" t="s">
        <v>853</v>
      </c>
      <c r="C156" s="66" t="n">
        <f aca="false">SUM(E156:P156)</f>
        <v>28591.673</v>
      </c>
      <c r="D156" s="66" t="n">
        <f aca="false">SUM(Q156:AB156)</f>
        <v>175465.744437273</v>
      </c>
      <c r="E156" s="67" t="n">
        <f aca="false">(E42*Contract_Register!$K$40+E80*Contract_Register!$L$40)*E118</f>
        <v>0</v>
      </c>
      <c r="F156" s="67" t="n">
        <f aca="false">(F42*Contract_Register!$K$40+F80*Contract_Register!$L$40)*F118</f>
        <v>0</v>
      </c>
      <c r="G156" s="67" t="n">
        <f aca="false">(G42*Contract_Register!$K$40+G80*Contract_Register!$L$40)*G118</f>
        <v>0</v>
      </c>
      <c r="H156" s="67" t="n">
        <f aca="false">(H42*Contract_Register!$K$40+H80*Contract_Register!$L$40)*H118</f>
        <v>0</v>
      </c>
      <c r="I156" s="67" t="n">
        <f aca="false">(I42*Contract_Register!$K$40+I80*Contract_Register!$L$40)*I118</f>
        <v>0</v>
      </c>
      <c r="J156" s="67" t="n">
        <f aca="false">(J42*Contract_Register!$K$40+J80*Contract_Register!$L$40)*J118</f>
        <v>0</v>
      </c>
      <c r="K156" s="67" t="n">
        <f aca="false">(K42*Contract_Register!$K$40+K80*Contract_Register!$L$40)*K118</f>
        <v>0</v>
      </c>
      <c r="L156" s="67" t="n">
        <f aca="false">(L42*Contract_Register!$K$40+L80*Contract_Register!$L$40)*L118</f>
        <v>0</v>
      </c>
      <c r="M156" s="67" t="n">
        <f aca="false">(M42*Contract_Register!$K$40+M80*Contract_Register!$L$40)*M118</f>
        <v>0</v>
      </c>
      <c r="N156" s="67" t="n">
        <f aca="false">(N42*Contract_Register!$K$40+N80*Contract_Register!$L$40)*N118</f>
        <v>0</v>
      </c>
      <c r="O156" s="67" t="n">
        <f aca="false">(O42*Contract_Register!$K$40+O80*Contract_Register!$L$40)*O118</f>
        <v>14278</v>
      </c>
      <c r="P156" s="67" t="n">
        <f aca="false">(P42*Contract_Register!$K$40+P80*Contract_Register!$L$40)*P118</f>
        <v>14313.673</v>
      </c>
      <c r="Q156" s="67" t="n">
        <f aca="false">(Q42*Contract_Register!$K$40+Q80*Contract_Register!$L$40)*Q118</f>
        <v>14349.4422775</v>
      </c>
      <c r="R156" s="67" t="n">
        <f aca="false">(R42*Contract_Register!$K$40+R80*Contract_Register!$L$40)*R118</f>
        <v>14385.3081052202</v>
      </c>
      <c r="S156" s="67" t="n">
        <f aca="false">(S42*Contract_Register!$K$40+S80*Contract_Register!$L$40)*S118</f>
        <v>14421.270756675</v>
      </c>
      <c r="T156" s="67" t="n">
        <f aca="false">(T42*Contract_Register!$K$40+T80*Contract_Register!$L$40)*T118</f>
        <v>14457.3305061748</v>
      </c>
      <c r="U156" s="67" t="n">
        <f aca="false">(U42*Contract_Register!$K$40+U80*Contract_Register!$L$40)*U118</f>
        <v>14493.487628829</v>
      </c>
      <c r="V156" s="67" t="n">
        <f aca="false">(V42*Contract_Register!$K$40+V80*Contract_Register!$L$40)*V118</f>
        <v>14529.7424005478</v>
      </c>
      <c r="W156" s="67" t="n">
        <f aca="false">(W42*Contract_Register!$K$40+W80*Contract_Register!$L$40)*W118</f>
        <v>14566.095098045</v>
      </c>
      <c r="X156" s="67" t="n">
        <f aca="false">(X42*Contract_Register!$K$40+X80*Contract_Register!$L$40)*X118</f>
        <v>14602.5459988402</v>
      </c>
      <c r="Y156" s="67" t="n">
        <f aca="false">(Y42*Contract_Register!$K$40+Y80*Contract_Register!$L$40)*Y118</f>
        <v>14639.095381261</v>
      </c>
      <c r="Z156" s="67" t="n">
        <f aca="false">(Z42*Contract_Register!$K$40+Z80*Contract_Register!$L$40)*Z118</f>
        <v>14675.7435244457</v>
      </c>
      <c r="AA156" s="67" t="n">
        <f aca="false">(AA42*Contract_Register!$K$40+AA80*Contract_Register!$L$40)*AA118</f>
        <v>15153.8654295959</v>
      </c>
      <c r="AB156" s="67" t="n">
        <f aca="false">(AB42*Contract_Register!$K$40+AB80*Contract_Register!$L$40)*AB118</f>
        <v>15191.8173301388</v>
      </c>
    </row>
    <row r="157" customFormat="false" ht="15" hidden="false" customHeight="false" outlineLevel="0" collapsed="false">
      <c r="A157" s="27" t="s">
        <v>855</v>
      </c>
      <c r="B157" s="63" t="s">
        <v>853</v>
      </c>
      <c r="C157" s="66" t="n">
        <f aca="false">SUM(E157:P157)</f>
        <v>0</v>
      </c>
      <c r="D157" s="66" t="n">
        <f aca="false">SUM(Q157:AB157)</f>
        <v>45263.3794516001</v>
      </c>
      <c r="E157" s="67" t="n">
        <f aca="false">(E43*Contract_Register!$K$41+E81*Contract_Register!$L$41)*E119</f>
        <v>0</v>
      </c>
      <c r="F157" s="67" t="n">
        <f aca="false">(F43*Contract_Register!$K$41+F81*Contract_Register!$L$41)*F119</f>
        <v>0</v>
      </c>
      <c r="G157" s="67" t="n">
        <f aca="false">(G43*Contract_Register!$K$41+G81*Contract_Register!$L$41)*G119</f>
        <v>0</v>
      </c>
      <c r="H157" s="67" t="n">
        <f aca="false">(H43*Contract_Register!$K$41+H81*Contract_Register!$L$41)*H119</f>
        <v>0</v>
      </c>
      <c r="I157" s="67" t="n">
        <f aca="false">(I43*Contract_Register!$K$41+I81*Contract_Register!$L$41)*I119</f>
        <v>0</v>
      </c>
      <c r="J157" s="67" t="n">
        <f aca="false">(J43*Contract_Register!$K$41+J81*Contract_Register!$L$41)*J119</f>
        <v>0</v>
      </c>
      <c r="K157" s="67" t="n">
        <f aca="false">(K43*Contract_Register!$K$41+K81*Contract_Register!$L$41)*K119</f>
        <v>0</v>
      </c>
      <c r="L157" s="67" t="n">
        <f aca="false">(L43*Contract_Register!$K$41+L81*Contract_Register!$L$41)*L119</f>
        <v>0</v>
      </c>
      <c r="M157" s="67" t="n">
        <f aca="false">(M43*Contract_Register!$K$41+M81*Contract_Register!$L$41)*M119</f>
        <v>0</v>
      </c>
      <c r="N157" s="67" t="n">
        <f aca="false">(N43*Contract_Register!$K$41+N81*Contract_Register!$L$41)*N119</f>
        <v>0</v>
      </c>
      <c r="O157" s="67" t="n">
        <f aca="false">(O43*Contract_Register!$K$41+O81*Contract_Register!$L$41)*O119</f>
        <v>0</v>
      </c>
      <c r="P157" s="67" t="n">
        <f aca="false">(P43*Contract_Register!$K$41+P81*Contract_Register!$L$41)*P119</f>
        <v>0</v>
      </c>
      <c r="Q157" s="67" t="n">
        <f aca="false">(Q43*Contract_Register!$K$41+Q81*Contract_Register!$L$41)*Q119</f>
        <v>3720</v>
      </c>
      <c r="R157" s="67" t="n">
        <f aca="false">(R43*Contract_Register!$K$41+R81*Contract_Register!$L$41)*R119</f>
        <v>3729.36</v>
      </c>
      <c r="S157" s="67" t="n">
        <f aca="false">(S43*Contract_Register!$K$41+S81*Contract_Register!$L$41)*S119</f>
        <v>3738.74538</v>
      </c>
      <c r="T157" s="67" t="n">
        <f aca="false">(T43*Contract_Register!$K$41+T81*Contract_Register!$L$41)*T119</f>
        <v>3748.15621209</v>
      </c>
      <c r="U157" s="67" t="n">
        <f aca="false">(U43*Contract_Register!$K$41+U81*Contract_Register!$L$41)*U119</f>
        <v>3757.59256857019</v>
      </c>
      <c r="V157" s="67" t="n">
        <f aca="false">(V43*Contract_Register!$K$41+V81*Contract_Register!$L$41)*V119</f>
        <v>3767.0545219516</v>
      </c>
      <c r="W157" s="67" t="n">
        <f aca="false">(W43*Contract_Register!$K$41+W81*Contract_Register!$L$41)*W119</f>
        <v>3776.54214495665</v>
      </c>
      <c r="X157" s="67" t="n">
        <f aca="false">(X43*Contract_Register!$K$41+X81*Contract_Register!$L$41)*X119</f>
        <v>3786.05551051989</v>
      </c>
      <c r="Y157" s="67" t="n">
        <f aca="false">(Y43*Contract_Register!$K$41+Y81*Contract_Register!$L$41)*Y119</f>
        <v>3795.5946917885</v>
      </c>
      <c r="Z157" s="67" t="n">
        <f aca="false">(Z43*Contract_Register!$K$41+Z81*Contract_Register!$L$41)*Z119</f>
        <v>3805.15976212303</v>
      </c>
      <c r="AA157" s="67" t="n">
        <f aca="false">(AA43*Contract_Register!$K$41+AA81*Contract_Register!$L$41)*AA119</f>
        <v>3814.75079509795</v>
      </c>
      <c r="AB157" s="67" t="n">
        <f aca="false">(AB43*Contract_Register!$K$41+AB81*Contract_Register!$L$41)*AB119</f>
        <v>3824.36786450232</v>
      </c>
    </row>
    <row r="158" customFormat="false" ht="15" hidden="false" customHeight="false" outlineLevel="0" collapsed="false">
      <c r="A158" s="27" t="s">
        <v>856</v>
      </c>
      <c r="B158" s="63" t="s">
        <v>853</v>
      </c>
      <c r="C158" s="66" t="n">
        <f aca="false">SUM(E158:P158)</f>
        <v>0</v>
      </c>
      <c r="D158" s="66" t="n">
        <f aca="false">SUM(Q158:AB158)</f>
        <v>43047.7136775572</v>
      </c>
      <c r="E158" s="67" t="n">
        <f aca="false">(E44*Contract_Register!$K$42+E82*Contract_Register!$L$42)*E120</f>
        <v>0</v>
      </c>
      <c r="F158" s="67" t="n">
        <f aca="false">(F44*Contract_Register!$K$42+F82*Contract_Register!$L$42)*F120</f>
        <v>0</v>
      </c>
      <c r="G158" s="67" t="n">
        <f aca="false">(G44*Contract_Register!$K$42+G82*Contract_Register!$L$42)*G120</f>
        <v>0</v>
      </c>
      <c r="H158" s="67" t="n">
        <f aca="false">(H44*Contract_Register!$K$42+H82*Contract_Register!$L$42)*H120</f>
        <v>0</v>
      </c>
      <c r="I158" s="67" t="n">
        <f aca="false">(I44*Contract_Register!$K$42+I82*Contract_Register!$L$42)*I120</f>
        <v>0</v>
      </c>
      <c r="J158" s="67" t="n">
        <f aca="false">(J44*Contract_Register!$K$42+J82*Contract_Register!$L$42)*J120</f>
        <v>0</v>
      </c>
      <c r="K158" s="67" t="n">
        <f aca="false">(K44*Contract_Register!$K$42+K82*Contract_Register!$L$42)*K120</f>
        <v>0</v>
      </c>
      <c r="L158" s="67" t="n">
        <f aca="false">(L44*Contract_Register!$K$42+L82*Contract_Register!$L$42)*L120</f>
        <v>0</v>
      </c>
      <c r="M158" s="67" t="n">
        <f aca="false">(M44*Contract_Register!$K$42+M82*Contract_Register!$L$42)*M120</f>
        <v>0</v>
      </c>
      <c r="N158" s="67" t="n">
        <f aca="false">(N44*Contract_Register!$K$42+N82*Contract_Register!$L$42)*N120</f>
        <v>0</v>
      </c>
      <c r="O158" s="67" t="n">
        <f aca="false">(O44*Contract_Register!$K$42+O82*Contract_Register!$L$42)*O120</f>
        <v>0</v>
      </c>
      <c r="P158" s="67" t="n">
        <f aca="false">(P44*Contract_Register!$K$42+P82*Contract_Register!$L$42)*P120</f>
        <v>0</v>
      </c>
      <c r="Q158" s="67" t="n">
        <f aca="false">(Q44*Contract_Register!$K$42+Q82*Contract_Register!$L$42)*Q120</f>
        <v>0</v>
      </c>
      <c r="R158" s="67" t="n">
        <f aca="false">(R44*Contract_Register!$K$42+R82*Contract_Register!$L$42)*R120</f>
        <v>3881.25</v>
      </c>
      <c r="S158" s="67" t="n">
        <f aca="false">(S44*Contract_Register!$K$42+S82*Contract_Register!$L$42)*S120</f>
        <v>3887.65125</v>
      </c>
      <c r="T158" s="67" t="n">
        <f aca="false">(T44*Contract_Register!$K$42+T82*Contract_Register!$L$42)*T120</f>
        <v>3894.06394125</v>
      </c>
      <c r="U158" s="67" t="n">
        <f aca="false">(U44*Contract_Register!$K$42+U82*Contract_Register!$L$42)*U120</f>
        <v>3900.48809527125</v>
      </c>
      <c r="V158" s="67" t="n">
        <f aca="false">(V44*Contract_Register!$K$42+V82*Contract_Register!$L$42)*V120</f>
        <v>3906.92373362668</v>
      </c>
      <c r="W158" s="67" t="n">
        <f aca="false">(W44*Contract_Register!$K$42+W82*Contract_Register!$L$42)*W120</f>
        <v>3913.37087792099</v>
      </c>
      <c r="X158" s="67" t="n">
        <f aca="false">(X44*Contract_Register!$K$42+X82*Contract_Register!$L$42)*X120</f>
        <v>3919.82954980071</v>
      </c>
      <c r="Y158" s="67" t="n">
        <f aca="false">(Y44*Contract_Register!$K$42+Y82*Contract_Register!$L$42)*Y120</f>
        <v>3926.29977095432</v>
      </c>
      <c r="Z158" s="67" t="n">
        <f aca="false">(Z44*Contract_Register!$K$42+Z82*Contract_Register!$L$42)*Z120</f>
        <v>3932.78156311228</v>
      </c>
      <c r="AA158" s="67" t="n">
        <f aca="false">(AA44*Contract_Register!$K$42+AA82*Contract_Register!$L$42)*AA120</f>
        <v>3939.27494804718</v>
      </c>
      <c r="AB158" s="67" t="n">
        <f aca="false">(AB44*Contract_Register!$K$42+AB82*Contract_Register!$L$42)*AB120</f>
        <v>3945.77994757376</v>
      </c>
    </row>
    <row r="159" customFormat="false" ht="15" hidden="false" customHeight="false" outlineLevel="0" collapsed="false">
      <c r="A159" s="27" t="s">
        <v>857</v>
      </c>
      <c r="B159" s="63" t="s">
        <v>853</v>
      </c>
      <c r="C159" s="66" t="n">
        <f aca="false">SUM(E159:P159)</f>
        <v>0</v>
      </c>
      <c r="D159" s="66" t="n">
        <f aca="false">SUM(Q159:AB159)</f>
        <v>23447.7406787096</v>
      </c>
      <c r="E159" s="67" t="n">
        <f aca="false">(E45*Contract_Register!$K$43+E83*Contract_Register!$L$43)*E121</f>
        <v>0</v>
      </c>
      <c r="F159" s="67" t="n">
        <f aca="false">(F45*Contract_Register!$K$43+F83*Contract_Register!$L$43)*F121</f>
        <v>0</v>
      </c>
      <c r="G159" s="67" t="n">
        <f aca="false">(G45*Contract_Register!$K$43+G83*Contract_Register!$L$43)*G121</f>
        <v>0</v>
      </c>
      <c r="H159" s="67" t="n">
        <f aca="false">(H45*Contract_Register!$K$43+H83*Contract_Register!$L$43)*H121</f>
        <v>0</v>
      </c>
      <c r="I159" s="67" t="n">
        <f aca="false">(I45*Contract_Register!$K$43+I83*Contract_Register!$L$43)*I121</f>
        <v>0</v>
      </c>
      <c r="J159" s="67" t="n">
        <f aca="false">(J45*Contract_Register!$K$43+J83*Contract_Register!$L$43)*J121</f>
        <v>0</v>
      </c>
      <c r="K159" s="67" t="n">
        <f aca="false">(K45*Contract_Register!$K$43+K83*Contract_Register!$L$43)*K121</f>
        <v>0</v>
      </c>
      <c r="L159" s="67" t="n">
        <f aca="false">(L45*Contract_Register!$K$43+L83*Contract_Register!$L$43)*L121</f>
        <v>0</v>
      </c>
      <c r="M159" s="67" t="n">
        <f aca="false">(M45*Contract_Register!$K$43+M83*Contract_Register!$L$43)*M121</f>
        <v>0</v>
      </c>
      <c r="N159" s="67" t="n">
        <f aca="false">(N45*Contract_Register!$K$43+N83*Contract_Register!$L$43)*N121</f>
        <v>0</v>
      </c>
      <c r="O159" s="67" t="n">
        <f aca="false">(O45*Contract_Register!$K$43+O83*Contract_Register!$L$43)*O121</f>
        <v>0</v>
      </c>
      <c r="P159" s="67" t="n">
        <f aca="false">(P45*Contract_Register!$K$43+P83*Contract_Register!$L$43)*P121</f>
        <v>0</v>
      </c>
      <c r="Q159" s="67" t="n">
        <f aca="false">(Q45*Contract_Register!$K$43+Q83*Contract_Register!$L$43)*Q121</f>
        <v>0</v>
      </c>
      <c r="R159" s="67" t="n">
        <f aca="false">(R45*Contract_Register!$K$43+R83*Contract_Register!$L$43)*R121</f>
        <v>0</v>
      </c>
      <c r="S159" s="67" t="n">
        <f aca="false">(S45*Contract_Register!$K$43+S83*Contract_Register!$L$43)*S121</f>
        <v>0</v>
      </c>
      <c r="T159" s="67" t="n">
        <f aca="false">(T45*Contract_Register!$K$43+T83*Contract_Register!$L$43)*T121</f>
        <v>2588</v>
      </c>
      <c r="U159" s="67" t="n">
        <f aca="false">(U45*Contract_Register!$K$43+U83*Contract_Register!$L$43)*U121</f>
        <v>2592.308</v>
      </c>
      <c r="V159" s="67" t="n">
        <f aca="false">(V45*Contract_Register!$K$43+V83*Contract_Register!$L$43)*V121</f>
        <v>2596.623748</v>
      </c>
      <c r="W159" s="67" t="n">
        <f aca="false">(W45*Contract_Register!$K$43+W83*Contract_Register!$L$43)*W121</f>
        <v>2600.947258628</v>
      </c>
      <c r="X159" s="67" t="n">
        <f aca="false">(X45*Contract_Register!$K$43+X83*Contract_Register!$L$43)*X121</f>
        <v>2605.27854654039</v>
      </c>
      <c r="Y159" s="67" t="n">
        <f aca="false">(Y45*Contract_Register!$K$43+Y83*Contract_Register!$L$43)*Y121</f>
        <v>2609.617626422</v>
      </c>
      <c r="Z159" s="67" t="n">
        <f aca="false">(Z45*Contract_Register!$K$43+Z83*Contract_Register!$L$43)*Z121</f>
        <v>2613.96451298615</v>
      </c>
      <c r="AA159" s="67" t="n">
        <f aca="false">(AA45*Contract_Register!$K$43+AA83*Contract_Register!$L$43)*AA121</f>
        <v>2618.31922097475</v>
      </c>
      <c r="AB159" s="67" t="n">
        <f aca="false">(AB45*Contract_Register!$K$43+AB83*Contract_Register!$L$43)*AB121</f>
        <v>2622.68176515829</v>
      </c>
    </row>
    <row r="160" customFormat="false" ht="15" hidden="false" customHeight="false" outlineLevel="0" collapsed="false">
      <c r="A160" s="21" t="s">
        <v>858</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row>
    <row r="161" customFormat="false" ht="15" hidden="false" customHeight="false" outlineLevel="0" collapsed="false">
      <c r="A161" s="59" t="s">
        <v>859</v>
      </c>
      <c r="B161" s="60"/>
      <c r="C161" s="61" t="n">
        <f aca="false">P161</f>
        <v>4207.06332065432</v>
      </c>
      <c r="D161" s="61" t="n">
        <f aca="false">AB161</f>
        <v>4375.74630394976</v>
      </c>
      <c r="E161" s="62" t="n">
        <f aca="false">SUM(Contracts!E9:E45)</f>
        <v>3781</v>
      </c>
      <c r="F161" s="62" t="n">
        <f aca="false">SUM(Contracts!F9:F45)</f>
        <v>3794</v>
      </c>
      <c r="G161" s="62" t="n">
        <f aca="false">SUM(Contracts!G9:G45)</f>
        <v>3882</v>
      </c>
      <c r="H161" s="62" t="n">
        <f aca="false">SUM(Contracts!H9:H45)</f>
        <v>3893</v>
      </c>
      <c r="I161" s="62" t="n">
        <f aca="false">SUM(Contracts!I9:I45)</f>
        <v>3815</v>
      </c>
      <c r="J161" s="62" t="n">
        <f aca="false">SUM(Contracts!J9:J45)</f>
        <v>3824</v>
      </c>
      <c r="K161" s="62" t="n">
        <f aca="false">SUM(Contracts!K9:K45)</f>
        <v>3938</v>
      </c>
      <c r="L161" s="62" t="n">
        <f aca="false">SUM(Contracts!L9:L45)</f>
        <v>3951</v>
      </c>
      <c r="M161" s="62" t="n">
        <f aca="false">SUM(Contracts!M9:M45)</f>
        <v>3959.919</v>
      </c>
      <c r="N161" s="62" t="n">
        <f aca="false">SUM(Contracts!N9:N45)</f>
        <v>3943.6113718</v>
      </c>
      <c r="O161" s="62" t="n">
        <f aca="false">SUM(Contracts!O9:O45)</f>
        <v>4208.75945326203</v>
      </c>
      <c r="P161" s="62" t="n">
        <f aca="false">SUM(Contracts!P9:P45)</f>
        <v>4207.06332065432</v>
      </c>
      <c r="Q161" s="62" t="n">
        <f aca="false">SUM(Contracts!Q9:Q45)</f>
        <v>4267.77780594857</v>
      </c>
      <c r="R161" s="62" t="n">
        <f aca="false">SUM(Contracts!R9:R45)</f>
        <v>4334.45885730272</v>
      </c>
      <c r="S161" s="62" t="n">
        <f aca="false">SUM(Contracts!S9:S45)</f>
        <v>4301.44723135883</v>
      </c>
      <c r="T161" s="62" t="n">
        <f aca="false">SUM(Contracts!T9:T45)</f>
        <v>4341.30398599657</v>
      </c>
      <c r="U161" s="62" t="n">
        <f aca="false">SUM(Contracts!U9:U45)</f>
        <v>4346.6109873825</v>
      </c>
      <c r="V161" s="62" t="n">
        <f aca="false">SUM(Contracts!V9:V45)</f>
        <v>4356.73884365182</v>
      </c>
      <c r="W161" s="62" t="n">
        <f aca="false">SUM(Contracts!W9:W45)</f>
        <v>4362.887022681</v>
      </c>
      <c r="X161" s="62" t="n">
        <f aca="false">SUM(Contracts!X9:X45)</f>
        <v>4344.3064783299</v>
      </c>
      <c r="Y161" s="62" t="n">
        <f aca="false">SUM(Contracts!Y9:Y45)</f>
        <v>4354.43884768916</v>
      </c>
      <c r="Z161" s="62" t="n">
        <f aca="false">SUM(Contracts!Z9:Z45)</f>
        <v>4361.46216968203</v>
      </c>
      <c r="AA161" s="62" t="n">
        <f aca="false">SUM(Contracts!AA9:AA45)</f>
        <v>4365.5558198718</v>
      </c>
      <c r="AB161" s="62" t="n">
        <f aca="false">SUM(Contracts!AB9:AB45)</f>
        <v>4375.74630394976</v>
      </c>
    </row>
    <row r="162" customFormat="false" ht="15" hidden="false" customHeight="false" outlineLevel="0" collapsed="false">
      <c r="A162" s="59" t="s">
        <v>860</v>
      </c>
      <c r="B162" s="60"/>
      <c r="C162" s="61" t="n">
        <f aca="false">P162</f>
        <v>1293.60257310652</v>
      </c>
      <c r="D162" s="61" t="n">
        <f aca="false">AB162</f>
        <v>1338.23741659559</v>
      </c>
      <c r="E162" s="62" t="n">
        <f aca="false">SUM(Contracts!E47:E83)</f>
        <v>1174</v>
      </c>
      <c r="F162" s="62" t="n">
        <f aca="false">SUM(Contracts!F47:F83)</f>
        <v>1174</v>
      </c>
      <c r="G162" s="62" t="n">
        <f aca="false">SUM(Contracts!G47:G83)</f>
        <v>1204</v>
      </c>
      <c r="H162" s="62" t="n">
        <f aca="false">SUM(Contracts!H47:H83)</f>
        <v>1206</v>
      </c>
      <c r="I162" s="62" t="n">
        <f aca="false">SUM(Contracts!I47:I83)</f>
        <v>1189</v>
      </c>
      <c r="J162" s="62" t="n">
        <f aca="false">SUM(Contracts!J47:J83)</f>
        <v>1190</v>
      </c>
      <c r="K162" s="62" t="n">
        <f aca="false">SUM(Contracts!K47:K83)</f>
        <v>1223</v>
      </c>
      <c r="L162" s="62" t="n">
        <f aca="false">SUM(Contracts!L47:L83)</f>
        <v>1225</v>
      </c>
      <c r="M162" s="62" t="n">
        <f aca="false">SUM(Contracts!M47:M83)</f>
        <v>1226.386</v>
      </c>
      <c r="N162" s="62" t="n">
        <f aca="false">SUM(Contracts!N47:N83)</f>
        <v>1220.5666587</v>
      </c>
      <c r="O162" s="62" t="n">
        <f aca="false">SUM(Contracts!O47:O83)</f>
        <v>1296.42899700104</v>
      </c>
      <c r="P162" s="62" t="n">
        <f aca="false">SUM(Contracts!P47:P83)</f>
        <v>1293.60257310652</v>
      </c>
      <c r="Q162" s="62" t="n">
        <f aca="false">SUM(Contracts!Q47:Q83)</f>
        <v>1312.29064304965</v>
      </c>
      <c r="R162" s="62" t="n">
        <f aca="false">SUM(Contracts!R47:R83)</f>
        <v>1336.38236529777</v>
      </c>
      <c r="S162" s="62" t="n">
        <f aca="false">SUM(Contracts!S47:S83)</f>
        <v>1328.2698415327</v>
      </c>
      <c r="T162" s="62" t="n">
        <f aca="false">SUM(Contracts!T47:T83)</f>
        <v>1340.50074990366</v>
      </c>
      <c r="U162" s="62" t="n">
        <f aca="false">SUM(Contracts!U47:U83)</f>
        <v>1340.84456002557</v>
      </c>
      <c r="V162" s="62" t="n">
        <f aca="false">SUM(Contracts!V47:V83)</f>
        <v>1342.40496048197</v>
      </c>
      <c r="W162" s="62" t="n">
        <f aca="false">SUM(Contracts!W47:W83)</f>
        <v>1342.55200138231</v>
      </c>
      <c r="X162" s="62" t="n">
        <f aca="false">SUM(Contracts!X47:X83)</f>
        <v>1335.74957020166</v>
      </c>
      <c r="Y162" s="62" t="n">
        <f aca="false">SUM(Contracts!Y47:Y83)</f>
        <v>1337.3043484904</v>
      </c>
      <c r="Z162" s="62" t="n">
        <f aca="false">SUM(Contracts!Z47:Z83)</f>
        <v>1338.25278278162</v>
      </c>
      <c r="AA162" s="62" t="n">
        <f aca="false">SUM(Contracts!AA47:AA83)</f>
        <v>1336.68159977673</v>
      </c>
      <c r="AB162" s="62" t="n">
        <f aca="false">SUM(Contracts!AB47:AB83)</f>
        <v>1338.23741659559</v>
      </c>
    </row>
    <row r="163" customFormat="false" ht="15" hidden="false" customHeight="false" outlineLevel="0" collapsed="false">
      <c r="A163" s="59" t="s">
        <v>861</v>
      </c>
      <c r="B163" s="60"/>
      <c r="C163" s="61" t="n">
        <f aca="false">SUM(E163:P163)</f>
        <v>2813869.84065143</v>
      </c>
      <c r="D163" s="61" t="n">
        <f aca="false">SUM(Q163:AB163)</f>
        <v>3173530.45760189</v>
      </c>
      <c r="E163" s="62" t="n">
        <f aca="false">SUM(Contracts!E123:E159)</f>
        <v>222281.28</v>
      </c>
      <c r="F163" s="62" t="n">
        <f aca="false">SUM(Contracts!F123:F159)</f>
        <v>223268.81</v>
      </c>
      <c r="G163" s="62" t="n">
        <f aca="false">SUM(Contracts!G123:G159)</f>
        <v>229851.35</v>
      </c>
      <c r="H163" s="62" t="n">
        <f aca="false">SUM(Contracts!H123:H159)</f>
        <v>231117.86</v>
      </c>
      <c r="I163" s="62" t="n">
        <f aca="false">SUM(Contracts!I123:I159)</f>
        <v>227787.83</v>
      </c>
      <c r="J163" s="62" t="n">
        <f aca="false">SUM(Contracts!J123:J159)</f>
        <v>228319.33</v>
      </c>
      <c r="K163" s="62" t="n">
        <f aca="false">SUM(Contracts!K123:K159)</f>
        <v>235394.64</v>
      </c>
      <c r="L163" s="62" t="n">
        <f aca="false">SUM(Contracts!L123:L159)</f>
        <v>236994.81</v>
      </c>
      <c r="M163" s="62" t="n">
        <f aca="false">SUM(Contracts!M123:M159)</f>
        <v>237538.702911441</v>
      </c>
      <c r="N163" s="62" t="n">
        <f aca="false">SUM(Contracts!N123:N159)</f>
        <v>237376.56952541</v>
      </c>
      <c r="O163" s="62" t="n">
        <f aca="false">SUM(Contracts!O123:O159)</f>
        <v>252008.421106854</v>
      </c>
      <c r="P163" s="62" t="n">
        <f aca="false">SUM(Contracts!P123:P159)</f>
        <v>251930.237107725</v>
      </c>
      <c r="Q163" s="62" t="n">
        <f aca="false">SUM(Contracts!Q123:Q159)</f>
        <v>256413.069010518</v>
      </c>
      <c r="R163" s="62" t="n">
        <f aca="false">SUM(Contracts!R123:R159)</f>
        <v>260935.566579744</v>
      </c>
      <c r="S163" s="62" t="n">
        <f aca="false">SUM(Contracts!S123:S159)</f>
        <v>260253.718083795</v>
      </c>
      <c r="T163" s="62" t="n">
        <f aca="false">SUM(Contracts!T123:T159)</f>
        <v>263462.681196961</v>
      </c>
      <c r="U163" s="62" t="n">
        <f aca="false">SUM(Contracts!U123:U159)</f>
        <v>264109.049028551</v>
      </c>
      <c r="V163" s="62" t="n">
        <f aca="false">SUM(Contracts!V123:V159)</f>
        <v>264741.599418759</v>
      </c>
      <c r="W163" s="62" t="n">
        <f aca="false">SUM(Contracts!W123:W159)</f>
        <v>265700.271649055</v>
      </c>
      <c r="X163" s="62" t="n">
        <f aca="false">SUM(Contracts!X123:X159)</f>
        <v>265901.386974345</v>
      </c>
      <c r="Y163" s="62" t="n">
        <f aca="false">SUM(Contracts!Y123:Y159)</f>
        <v>266521.325629425</v>
      </c>
      <c r="Z163" s="62" t="n">
        <f aca="false">SUM(Contracts!Z123:Z159)</f>
        <v>267612.696822613</v>
      </c>
      <c r="AA163" s="62" t="n">
        <f aca="false">SUM(Contracts!AA123:AA159)</f>
        <v>268586.599248214</v>
      </c>
      <c r="AB163" s="62" t="n">
        <f aca="false">SUM(Contracts!AB123:AB159)</f>
        <v>269292.493959905</v>
      </c>
    </row>
    <row r="164" customFormat="false" ht="15" hidden="false" customHeight="false" outlineLevel="0" collapsed="false">
      <c r="A164" s="27" t="s">
        <v>357</v>
      </c>
      <c r="B164" s="63"/>
      <c r="C164" s="66" t="n">
        <f aca="false">P164</f>
        <v>3023162.8452927</v>
      </c>
      <c r="D164" s="66" t="n">
        <f aca="false">AB164</f>
        <v>3231509.92751886</v>
      </c>
      <c r="E164" s="76" t="n">
        <f aca="false">12*E163</f>
        <v>2667375.36</v>
      </c>
      <c r="F164" s="76" t="n">
        <f aca="false">12*F163</f>
        <v>2679225.72</v>
      </c>
      <c r="G164" s="76" t="n">
        <f aca="false">12*G163</f>
        <v>2758216.2</v>
      </c>
      <c r="H164" s="76" t="n">
        <f aca="false">12*H163</f>
        <v>2773414.32</v>
      </c>
      <c r="I164" s="76" t="n">
        <f aca="false">12*I163</f>
        <v>2733453.96</v>
      </c>
      <c r="J164" s="76" t="n">
        <f aca="false">12*J163</f>
        <v>2739831.96</v>
      </c>
      <c r="K164" s="76" t="n">
        <f aca="false">12*K163</f>
        <v>2824735.68</v>
      </c>
      <c r="L164" s="76" t="n">
        <f aca="false">12*L163</f>
        <v>2843937.72</v>
      </c>
      <c r="M164" s="76" t="n">
        <f aca="false">12*M163</f>
        <v>2850464.43493729</v>
      </c>
      <c r="N164" s="76" t="n">
        <f aca="false">12*N163</f>
        <v>2848518.83430492</v>
      </c>
      <c r="O164" s="76" t="n">
        <f aca="false">12*O163</f>
        <v>3024101.05328224</v>
      </c>
      <c r="P164" s="76" t="n">
        <f aca="false">12*P163</f>
        <v>3023162.8452927</v>
      </c>
      <c r="Q164" s="76" t="n">
        <f aca="false">12*Q163</f>
        <v>3076956.82812622</v>
      </c>
      <c r="R164" s="76" t="n">
        <f aca="false">12*R163</f>
        <v>3131226.79895693</v>
      </c>
      <c r="S164" s="76" t="n">
        <f aca="false">12*S163</f>
        <v>3123044.61700555</v>
      </c>
      <c r="T164" s="76" t="n">
        <f aca="false">12*T163</f>
        <v>3161552.17436353</v>
      </c>
      <c r="U164" s="76" t="n">
        <f aca="false">12*U163</f>
        <v>3169308.58834261</v>
      </c>
      <c r="V164" s="76" t="n">
        <f aca="false">12*V163</f>
        <v>3176899.19302511</v>
      </c>
      <c r="W164" s="76" t="n">
        <f aca="false">12*W163</f>
        <v>3188403.25978865</v>
      </c>
      <c r="X164" s="76" t="n">
        <f aca="false">12*X163</f>
        <v>3190816.64369214</v>
      </c>
      <c r="Y164" s="76" t="n">
        <f aca="false">12*Y163</f>
        <v>3198255.9075531</v>
      </c>
      <c r="Z164" s="76" t="n">
        <f aca="false">12*Z163</f>
        <v>3211352.36187136</v>
      </c>
      <c r="AA164" s="76" t="n">
        <f aca="false">12*AA163</f>
        <v>3223039.19097857</v>
      </c>
      <c r="AB164" s="76" t="n">
        <f aca="false">12*AB163</f>
        <v>3231509.92751886</v>
      </c>
    </row>
    <row r="165" customFormat="false" ht="15" hidden="false" customHeight="false" outlineLevel="0" collapsed="false">
      <c r="A165" s="27" t="s">
        <v>862</v>
      </c>
      <c r="B165" s="63"/>
      <c r="C165" s="66" t="n">
        <f aca="false">SUM(E165:P165)</f>
        <v>2390715.43399085</v>
      </c>
      <c r="D165" s="66" t="n">
        <f aca="false">SUM(Q165:AB165)</f>
        <v>2722373.36455407</v>
      </c>
      <c r="E165" s="67" t="n">
        <f aca="false">SUMPRODUCT((Contract_Register!$C$7:$C$43="PT")*Contracts!E123:E159)</f>
        <v>187820.28</v>
      </c>
      <c r="F165" s="67" t="n">
        <f aca="false">SUMPRODUCT((Contract_Register!$C$7:$C$43="PT")*Contracts!F123:F159)</f>
        <v>188649.32</v>
      </c>
      <c r="G165" s="67" t="n">
        <f aca="false">SUMPRODUCT((Contract_Register!$C$7:$C$43="PT")*Contracts!G123:G159)</f>
        <v>194990.64</v>
      </c>
      <c r="H165" s="67" t="n">
        <f aca="false">SUMPRODUCT((Contract_Register!$C$7:$C$43="PT")*Contracts!H123:H159)</f>
        <v>195977.85</v>
      </c>
      <c r="I165" s="67" t="n">
        <f aca="false">SUMPRODUCT((Contract_Register!$C$7:$C$43="PT")*Contracts!I123:I159)</f>
        <v>192643.71</v>
      </c>
      <c r="J165" s="67" t="n">
        <f aca="false">SUMPRODUCT((Contract_Register!$C$7:$C$43="PT")*Contracts!J123:J159)</f>
        <v>193175.21</v>
      </c>
      <c r="K165" s="67" t="n">
        <f aca="false">SUMPRODUCT((Contract_Register!$C$7:$C$43="PT")*Contracts!K123:K159)</f>
        <v>200084.98</v>
      </c>
      <c r="L165" s="67" t="n">
        <f aca="false">SUMPRODUCT((Contract_Register!$C$7:$C$43="PT")*Contracts!L123:L159)</f>
        <v>201384.22</v>
      </c>
      <c r="M165" s="67" t="n">
        <f aca="false">SUMPRODUCT((Contract_Register!$C$7:$C$43="PT")*Contracts!M123:M159)</f>
        <v>201873.788290825</v>
      </c>
      <c r="N165" s="67" t="n">
        <f aca="false">SUMPRODUCT((Contract_Register!$C$7:$C$43="PT")*Contracts!N123:N159)</f>
        <v>201505.478827394</v>
      </c>
      <c r="O165" s="67" t="n">
        <f aca="false">SUMPRODUCT((Contract_Register!$C$7:$C$43="PT")*Contracts!O123:O159)</f>
        <v>216082.677506711</v>
      </c>
      <c r="P165" s="67" t="n">
        <f aca="false">SUMPRODUCT((Contract_Register!$C$7:$C$43="PT")*Contracts!P123:P159)</f>
        <v>216527.279365915</v>
      </c>
      <c r="Q165" s="67" t="n">
        <f aca="false">SUMPRODUCT((Contract_Register!$C$7:$C$43="PT")*Contracts!Q123:Q159)</f>
        <v>220955.730411669</v>
      </c>
      <c r="R165" s="67" t="n">
        <f aca="false">SUMPRODUCT((Contract_Register!$C$7:$C$43="PT")*Contracts!R123:R159)</f>
        <v>225280.444765471</v>
      </c>
      <c r="S165" s="67" t="n">
        <f aca="false">SUMPRODUCT((Contract_Register!$C$7:$C$43="PT")*Contracts!S123:S159)</f>
        <v>224543.634948089</v>
      </c>
      <c r="T165" s="67" t="n">
        <f aca="false">SUMPRODUCT((Contract_Register!$C$7:$C$43="PT")*Contracts!T123:T159)</f>
        <v>225510.388717299</v>
      </c>
      <c r="U165" s="67" t="n">
        <f aca="false">SUMPRODUCT((Contract_Register!$C$7:$C$43="PT")*Contracts!U123:U159)</f>
        <v>226097.950754382</v>
      </c>
      <c r="V165" s="67" t="n">
        <f aca="false">SUMPRODUCT((Contract_Register!$C$7:$C$43="PT")*Contracts!V123:V159)</f>
        <v>226671.584870749</v>
      </c>
      <c r="W165" s="67" t="n">
        <f aca="false">SUMPRODUCT((Contract_Register!$C$7:$C$43="PT")*Contracts!W123:W159)</f>
        <v>227736.652735838</v>
      </c>
      <c r="X165" s="67" t="n">
        <f aca="false">SUMPRODUCT((Contract_Register!$C$7:$C$43="PT")*Contracts!X123:X159)</f>
        <v>227681.382239584</v>
      </c>
      <c r="Y165" s="67" t="n">
        <f aca="false">SUMPRODUCT((Contract_Register!$C$7:$C$43="PT")*Contracts!Y123:Y159)</f>
        <v>228242.023803791</v>
      </c>
      <c r="Z165" s="67" t="n">
        <f aca="false">SUMPRODUCT((Contract_Register!$C$7:$C$43="PT")*Contracts!Z123:Z159)</f>
        <v>229116.129109145</v>
      </c>
      <c r="AA165" s="67" t="n">
        <f aca="false">SUMPRODUCT((Contract_Register!$C$7:$C$43="PT")*Contracts!AA123:AA159)</f>
        <v>230030.380863328</v>
      </c>
      <c r="AB165" s="67" t="n">
        <f aca="false">SUMPRODUCT((Contract_Register!$C$7:$C$43="PT")*Contracts!AB123:AB159)</f>
        <v>230507.061334723</v>
      </c>
    </row>
    <row r="166" customFormat="false" ht="15" hidden="false" customHeight="false" outlineLevel="0" collapsed="false">
      <c r="A166" s="27" t="s">
        <v>863</v>
      </c>
      <c r="B166" s="63"/>
      <c r="C166" s="65" t="n">
        <f aca="false">AVERAGE(E166:P166)</f>
        <v>0.849448812776574</v>
      </c>
      <c r="D166" s="65" t="n">
        <f aca="false">AVERAGE(Q166:AB166)</f>
        <v>0.857867636131854</v>
      </c>
      <c r="E166" s="79" t="n">
        <f aca="false">IF(E163=0,0,E165/E163)</f>
        <v>0.84496670164937</v>
      </c>
      <c r="F166" s="79" t="n">
        <f aca="false">IF(F163=0,0,F165/F163)</f>
        <v>0.844942560494679</v>
      </c>
      <c r="G166" s="79" t="n">
        <f aca="false">IF(G163=0,0,G165/G163)</f>
        <v>0.848333673045645</v>
      </c>
      <c r="H166" s="79" t="n">
        <f aca="false">IF(H163=0,0,H165/H163)</f>
        <v>0.847956319775547</v>
      </c>
      <c r="I166" s="79" t="n">
        <f aca="false">IF(I163=0,0,I165/I163)</f>
        <v>0.845715550299592</v>
      </c>
      <c r="J166" s="79" t="n">
        <f aca="false">IF(J163=0,0,J165/J163)</f>
        <v>0.846074705983063</v>
      </c>
      <c r="K166" s="79" t="n">
        <f aca="false">IF(K163=0,0,K165/K163)</f>
        <v>0.849998028842118</v>
      </c>
      <c r="L166" s="79" t="n">
        <f aca="false">IF(L163=0,0,L165/L163)</f>
        <v>0.849741055510878</v>
      </c>
      <c r="M166" s="79" t="n">
        <f aca="false">IF(M163=0,0,M165/M163)</f>
        <v>0.849856405783639</v>
      </c>
      <c r="N166" s="79" t="n">
        <f aca="false">IF(N163=0,0,N165/N163)</f>
        <v>0.848885293229514</v>
      </c>
      <c r="O166" s="79" t="n">
        <f aca="false">IF(O163=0,0,O165/O163)</f>
        <v>0.857442289260208</v>
      </c>
      <c r="P166" s="79" t="n">
        <f aca="false">IF(P163=0,0,P165/P163)</f>
        <v>0.859473169444638</v>
      </c>
      <c r="Q166" s="79" t="n">
        <f aca="false">IF(Q163=0,0,Q165/Q163)</f>
        <v>0.861717896300382</v>
      </c>
      <c r="R166" s="79" t="n">
        <f aca="false">IF(R163=0,0,R165/R163)</f>
        <v>0.863356604537936</v>
      </c>
      <c r="S166" s="79" t="n">
        <f aca="false">IF(S163=0,0,S165/S163)</f>
        <v>0.862787423754659</v>
      </c>
      <c r="T166" s="79" t="n">
        <f aca="false">IF(T163=0,0,T165/T163)</f>
        <v>0.855948127806043</v>
      </c>
      <c r="U166" s="79" t="n">
        <f aca="false">IF(U163=0,0,U165/U163)</f>
        <v>0.856078016205877</v>
      </c>
      <c r="V166" s="79" t="n">
        <f aca="false">IF(V163=0,0,V165/V163)</f>
        <v>0.856199348226374</v>
      </c>
      <c r="W166" s="79" t="n">
        <f aca="false">IF(W163=0,0,W165/W163)</f>
        <v>0.857118629658912</v>
      </c>
      <c r="X166" s="79" t="n">
        <f aca="false">IF(X163=0,0,X165/X163)</f>
        <v>0.856262484488477</v>
      </c>
      <c r="Y166" s="79" t="n">
        <f aca="false">IF(Y163=0,0,Y165/Y163)</f>
        <v>0.856374338018798</v>
      </c>
      <c r="Z166" s="79" t="n">
        <f aca="false">IF(Z163=0,0,Z165/Z163)</f>
        <v>0.856148201596782</v>
      </c>
      <c r="AA166" s="79" t="n">
        <f aca="false">IF(AA163=0,0,AA165/AA163)</f>
        <v>0.856447721171473</v>
      </c>
      <c r="AB166" s="79" t="n">
        <f aca="false">IF(AB163=0,0,AB165/AB163)</f>
        <v>0.855972841816539</v>
      </c>
    </row>
    <row r="167" customFormat="false" ht="15" hidden="false" customHeight="false" outlineLevel="0" collapsed="false">
      <c r="A167" s="27" t="s">
        <v>864</v>
      </c>
      <c r="B167" s="63"/>
      <c r="C167" s="66" t="n">
        <f aca="false">P167</f>
        <v>3675.59299519318</v>
      </c>
      <c r="D167" s="66" t="n">
        <f aca="false">AB167</f>
        <v>3806.2100444901</v>
      </c>
      <c r="E167" s="67" t="n">
        <f aca="false">SUMPRODUCT((Contract_Register!$C$7:$C$43="PT")*Contracts!E9:E45)</f>
        <v>3251</v>
      </c>
      <c r="F167" s="67" t="n">
        <f aca="false">SUMPRODUCT((Contract_Register!$C$7:$C$43="PT")*Contracts!F9:F45)</f>
        <v>3263</v>
      </c>
      <c r="G167" s="67" t="n">
        <f aca="false">SUMPRODUCT((Contract_Register!$C$7:$C$43="PT")*Contracts!G9:G45)</f>
        <v>3347</v>
      </c>
      <c r="H167" s="67" t="n">
        <f aca="false">SUMPRODUCT((Contract_Register!$C$7:$C$43="PT")*Contracts!H9:H45)</f>
        <v>3357</v>
      </c>
      <c r="I167" s="67" t="n">
        <f aca="false">SUMPRODUCT((Contract_Register!$C$7:$C$43="PT")*Contracts!I9:I45)</f>
        <v>3279</v>
      </c>
      <c r="J167" s="67" t="n">
        <f aca="false">SUMPRODUCT((Contract_Register!$C$7:$C$43="PT")*Contracts!J9:J45)</f>
        <v>3288</v>
      </c>
      <c r="K167" s="67" t="n">
        <f aca="false">SUMPRODUCT((Contract_Register!$C$7:$C$43="PT")*Contracts!K9:K45)</f>
        <v>3402</v>
      </c>
      <c r="L167" s="67" t="n">
        <f aca="false">SUMPRODUCT((Contract_Register!$C$7:$C$43="PT")*Contracts!L9:L45)</f>
        <v>3412</v>
      </c>
      <c r="M167" s="67" t="n">
        <f aca="false">SUMPRODUCT((Contract_Register!$C$7:$C$43="PT")*Contracts!M9:M45)</f>
        <v>3419.943</v>
      </c>
      <c r="N167" s="67" t="n">
        <f aca="false">SUMPRODUCT((Contract_Register!$C$7:$C$43="PT")*Contracts!N9:N45)</f>
        <v>3402.6573758</v>
      </c>
      <c r="O167" s="67" t="n">
        <f aca="false">SUMPRODUCT((Contract_Register!$C$7:$C$43="PT")*Contracts!O9:O45)</f>
        <v>3666.82546078803</v>
      </c>
      <c r="P167" s="67" t="n">
        <f aca="false">SUMPRODUCT((Contract_Register!$C$7:$C$43="PT")*Contracts!P9:P45)</f>
        <v>3675.59299519318</v>
      </c>
      <c r="Q167" s="67" t="n">
        <f aca="false">SUMPRODUCT((Contract_Register!$C$7:$C$43="PT")*Contracts!Q9:Q45)</f>
        <v>3735.33491526888</v>
      </c>
      <c r="R167" s="67" t="n">
        <f aca="false">SUMPRODUCT((Contract_Register!$C$7:$C$43="PT")*Contracts!R9:R45)</f>
        <v>3801.04139888957</v>
      </c>
      <c r="S167" s="67" t="n">
        <f aca="false">SUMPRODUCT((Contract_Register!$C$7:$C$43="PT")*Contracts!S9:S45)</f>
        <v>3767.05319819162</v>
      </c>
      <c r="T167" s="67" t="n">
        <f aca="false">SUMPRODUCT((Contract_Register!$C$7:$C$43="PT")*Contracts!T9:T45)</f>
        <v>3776.10265215387</v>
      </c>
      <c r="U167" s="67" t="n">
        <f aca="false">SUMPRODUCT((Contract_Register!$C$7:$C$43="PT")*Contracts!U9:U45)</f>
        <v>3780.36939375529</v>
      </c>
      <c r="V167" s="67" t="n">
        <f aca="false">SUMPRODUCT((Contract_Register!$C$7:$C$43="PT")*Contracts!V9:V45)</f>
        <v>3789.45485032242</v>
      </c>
      <c r="W167" s="67" t="n">
        <f aca="false">SUMPRODUCT((Contract_Register!$C$7:$C$43="PT")*Contracts!W9:W45)</f>
        <v>3798.56559253899</v>
      </c>
      <c r="X167" s="67" t="n">
        <f aca="false">SUMPRODUCT((Contract_Register!$C$7:$C$43="PT")*Contracts!X9:X45)</f>
        <v>3778.94636849048</v>
      </c>
      <c r="Y167" s="67" t="n">
        <f aca="false">SUMPRODUCT((Contract_Register!$C$7:$C$43="PT")*Contracts!Y9:Y45)</f>
        <v>3788.03791986518</v>
      </c>
      <c r="Z167" s="67" t="n">
        <f aca="false">SUMPRODUCT((Contract_Register!$C$7:$C$43="PT")*Contracts!Z9:Z45)</f>
        <v>3794.01828079615</v>
      </c>
      <c r="AA167" s="67" t="n">
        <f aca="false">SUMPRODUCT((Contract_Register!$C$7:$C$43="PT")*Contracts!AA9:AA45)</f>
        <v>3797.06682204506</v>
      </c>
      <c r="AB167" s="67" t="n">
        <f aca="false">SUMPRODUCT((Contract_Register!$C$7:$C$43="PT")*Contracts!AB9:AB45)</f>
        <v>3806.2100444901</v>
      </c>
    </row>
    <row r="168" customFormat="false" ht="15" hidden="false" customHeight="false" outlineLevel="0" collapsed="false">
      <c r="A168" s="27" t="s">
        <v>865</v>
      </c>
      <c r="B168" s="63"/>
      <c r="C168" s="65" t="n">
        <f aca="false">AVERAGE(E168:P168)</f>
        <v>0.863545726370696</v>
      </c>
      <c r="D168" s="65" t="n">
        <f aca="false">AVERAGE(Q168:AB168)</f>
        <v>0.871435627701285</v>
      </c>
      <c r="E168" s="79" t="n">
        <f aca="false">IF(E161=0,0,E167/E161)</f>
        <v>0.859825443004496</v>
      </c>
      <c r="F168" s="79" t="n">
        <f aca="false">IF(F161=0,0,F167/F161)</f>
        <v>0.86004217185029</v>
      </c>
      <c r="G168" s="79" t="n">
        <f aca="false">IF(G161=0,0,G167/G161)</f>
        <v>0.862184441009789</v>
      </c>
      <c r="H168" s="79" t="n">
        <f aca="false">IF(H161=0,0,H167/H161)</f>
        <v>0.862316979193424</v>
      </c>
      <c r="I168" s="79" t="n">
        <f aca="false">IF(I161=0,0,I167/I161)</f>
        <v>0.859501965923984</v>
      </c>
      <c r="J168" s="79" t="n">
        <f aca="false">IF(J161=0,0,J167/J161)</f>
        <v>0.859832635983264</v>
      </c>
      <c r="K168" s="79" t="n">
        <f aca="false">IF(K161=0,0,K167/K161)</f>
        <v>0.86389029964449</v>
      </c>
      <c r="L168" s="79" t="n">
        <f aca="false">IF(L161=0,0,L167/L161)</f>
        <v>0.863578840799798</v>
      </c>
      <c r="M168" s="79" t="n">
        <f aca="false">IF(M161=0,0,M167/M161)</f>
        <v>0.863639635053141</v>
      </c>
      <c r="N168" s="79" t="n">
        <f aca="false">IF(N161=0,0,N167/N161)</f>
        <v>0.862827762423991</v>
      </c>
      <c r="O168" s="79" t="n">
        <f aca="false">IF(O161=0,0,O167/O161)</f>
        <v>0.87123664383956</v>
      </c>
      <c r="P168" s="79" t="n">
        <f aca="false">IF(P161=0,0,P167/P161)</f>
        <v>0.873671897722121</v>
      </c>
      <c r="Q168" s="79" t="n">
        <f aca="false">IF(Q161=0,0,Q167/Q161)</f>
        <v>0.875241187594735</v>
      </c>
      <c r="R168" s="79" t="n">
        <f aca="false">IF(R161=0,0,R167/R161)</f>
        <v>0.876935627727912</v>
      </c>
      <c r="S168" s="79" t="n">
        <f aca="false">IF(S161=0,0,S167/S161)</f>
        <v>0.875764131366922</v>
      </c>
      <c r="T168" s="79" t="n">
        <f aca="false">IF(T161=0,0,T167/T161)</f>
        <v>0.869808394973992</v>
      </c>
      <c r="U168" s="79" t="n">
        <f aca="false">IF(U161=0,0,U167/U161)</f>
        <v>0.869728025979111</v>
      </c>
      <c r="V168" s="79" t="n">
        <f aca="false">IF(V161=0,0,V167/V161)</f>
        <v>0.869791600165341</v>
      </c>
      <c r="W168" s="79" t="n">
        <f aca="false">IF(W161=0,0,W167/W161)</f>
        <v>0.870654127139137</v>
      </c>
      <c r="X168" s="79" t="n">
        <f aca="false">IF(X161=0,0,X167/X161)</f>
        <v>0.86986182658624</v>
      </c>
      <c r="Y168" s="79" t="n">
        <f aca="false">IF(Y161=0,0,Y167/Y161)</f>
        <v>0.869925621271598</v>
      </c>
      <c r="Z168" s="79" t="n">
        <f aca="false">IF(Z161=0,0,Z167/Z161)</f>
        <v>0.869895950759272</v>
      </c>
      <c r="AA168" s="79" t="n">
        <f aca="false">IF(AA161=0,0,AA167/AA161)</f>
        <v>0.869778552541006</v>
      </c>
      <c r="AB168" s="79" t="n">
        <f aca="false">IF(AB161=0,0,AB167/AB161)</f>
        <v>0.869842486310148</v>
      </c>
    </row>
    <row r="169" customFormat="false" ht="15" hidden="false" customHeight="false" outlineLevel="0" collapsed="false">
      <c r="A169" s="27" t="s">
        <v>361</v>
      </c>
      <c r="B169" s="63"/>
      <c r="C169" s="70" t="n">
        <f aca="false">AVERAGE(E169:P169)</f>
        <v>59.61052368813</v>
      </c>
      <c r="D169" s="70" t="n">
        <f aca="false">AVERAGE(Q169:AB169)</f>
        <v>60.8949228617902</v>
      </c>
      <c r="E169" s="122" t="n">
        <f aca="false">IF(E161=0,0,E163/E161)</f>
        <v>58.789018778101</v>
      </c>
      <c r="F169" s="122" t="n">
        <f aca="false">IF(F161=0,0,F163/F161)</f>
        <v>58.8478676858197</v>
      </c>
      <c r="G169" s="122" t="n">
        <f aca="false">IF(G161=0,0,G163/G161)</f>
        <v>59.2095182895415</v>
      </c>
      <c r="H169" s="122" t="n">
        <f aca="false">IF(H161=0,0,H163/H161)</f>
        <v>59.3675468790136</v>
      </c>
      <c r="I169" s="122" t="n">
        <f aca="false">IF(I161=0,0,I163/I161)</f>
        <v>59.7084744429882</v>
      </c>
      <c r="J169" s="122" t="n">
        <f aca="false">IF(J161=0,0,J163/J161)</f>
        <v>59.7069377615063</v>
      </c>
      <c r="K169" s="122" t="n">
        <f aca="false">IF(K161=0,0,K163/K161)</f>
        <v>59.7751752158456</v>
      </c>
      <c r="L169" s="122" t="n">
        <f aca="false">IF(L161=0,0,L163/L161)</f>
        <v>59.9835003796507</v>
      </c>
      <c r="M169" s="122" t="n">
        <f aca="false">IF(M161=0,0,M163/M161)</f>
        <v>59.98574791844</v>
      </c>
      <c r="N169" s="122" t="n">
        <f aca="false">IF(N161=0,0,N163/N161)</f>
        <v>60.1926881596</v>
      </c>
      <c r="O169" s="122" t="n">
        <f aca="false">IF(O161=0,0,O163/O161)</f>
        <v>59.8771262423973</v>
      </c>
      <c r="P169" s="122" t="n">
        <f aca="false">IF(P161=0,0,P163/P161)</f>
        <v>59.8826825046557</v>
      </c>
      <c r="Q169" s="122" t="n">
        <f aca="false">IF(Q161=0,0,Q163/Q161)</f>
        <v>60.0811665155392</v>
      </c>
      <c r="R169" s="122" t="n">
        <f aca="false">IF(R161=0,0,R163/R161)</f>
        <v>60.2002637861284</v>
      </c>
      <c r="S169" s="122" t="n">
        <f aca="false">IF(S161=0,0,S163/S161)</f>
        <v>60.5037570114701</v>
      </c>
      <c r="T169" s="122" t="n">
        <f aca="false">IF(T161=0,0,T163/T161)</f>
        <v>60.6874529051164</v>
      </c>
      <c r="U169" s="122" t="n">
        <f aca="false">IF(U161=0,0,U163/U161)</f>
        <v>60.762062626542</v>
      </c>
      <c r="V169" s="122" t="n">
        <f aca="false">IF(V161=0,0,V163/V161)</f>
        <v>60.766001571224</v>
      </c>
      <c r="W169" s="122" t="n">
        <f aca="false">IF(W161=0,0,W163/W161)</f>
        <v>60.9001035937395</v>
      </c>
      <c r="X169" s="122" t="n">
        <f aca="false">IF(X161=0,0,X163/X161)</f>
        <v>61.2068665736876</v>
      </c>
      <c r="Y169" s="122" t="n">
        <f aca="false">IF(Y161=0,0,Y163/Y161)</f>
        <v>61.2068133120906</v>
      </c>
      <c r="Z169" s="122" t="n">
        <f aca="false">IF(Z161=0,0,Z163/Z161)</f>
        <v>61.3584817226842</v>
      </c>
      <c r="AA169" s="122" t="n">
        <f aca="false">IF(AA161=0,0,AA163/AA161)</f>
        <v>61.5240327533142</v>
      </c>
      <c r="AB169" s="122" t="n">
        <f aca="false">IF(AB161=0,0,AB163/AB161)</f>
        <v>61.5420719699468</v>
      </c>
    </row>
    <row r="170" customFormat="false" ht="15" hidden="false" customHeight="false" outlineLevel="0" collapsed="false">
      <c r="A170" s="27" t="s">
        <v>866</v>
      </c>
      <c r="B170" s="63"/>
      <c r="C170" s="68" t="n">
        <f aca="false">P170</f>
        <v>33</v>
      </c>
      <c r="D170" s="68" t="n">
        <f aca="false">AB170</f>
        <v>36</v>
      </c>
      <c r="E170" s="69" t="n">
        <f aca="false">COUNTIF(Contracts!E123:E159,"&gt;0")</f>
        <v>30</v>
      </c>
      <c r="F170" s="69" t="n">
        <f aca="false">COUNTIF(Contracts!F123:F159,"&gt;0")</f>
        <v>30</v>
      </c>
      <c r="G170" s="69" t="n">
        <f aca="false">COUNTIF(Contracts!G123:G159,"&gt;0")</f>
        <v>31</v>
      </c>
      <c r="H170" s="69" t="n">
        <f aca="false">COUNTIF(Contracts!H123:H159,"&gt;0")</f>
        <v>31</v>
      </c>
      <c r="I170" s="69" t="n">
        <f aca="false">COUNTIF(Contracts!I123:I159,"&gt;0")</f>
        <v>31</v>
      </c>
      <c r="J170" s="69" t="n">
        <f aca="false">COUNTIF(Contracts!J123:J159,"&gt;0")</f>
        <v>31</v>
      </c>
      <c r="K170" s="69" t="n">
        <f aca="false">COUNTIF(Contracts!K123:K159,"&gt;0")</f>
        <v>32</v>
      </c>
      <c r="L170" s="69" t="n">
        <f aca="false">COUNTIF(Contracts!L123:L159,"&gt;0")</f>
        <v>32</v>
      </c>
      <c r="M170" s="69" t="n">
        <f aca="false">COUNTIF(Contracts!M123:M159,"&gt;0")</f>
        <v>32</v>
      </c>
      <c r="N170" s="69" t="n">
        <f aca="false">COUNTIF(Contracts!N123:N159,"&gt;0")</f>
        <v>32</v>
      </c>
      <c r="O170" s="69" t="n">
        <f aca="false">COUNTIF(Contracts!O123:O159,"&gt;0")</f>
        <v>33</v>
      </c>
      <c r="P170" s="69" t="n">
        <f aca="false">COUNTIF(Contracts!P123:P159,"&gt;0")</f>
        <v>33</v>
      </c>
      <c r="Q170" s="69" t="n">
        <f aca="false">COUNTIF(Contracts!Q123:Q159,"&gt;0")</f>
        <v>34</v>
      </c>
      <c r="R170" s="69" t="n">
        <f aca="false">COUNTIF(Contracts!R123:R159,"&gt;0")</f>
        <v>35</v>
      </c>
      <c r="S170" s="69" t="n">
        <f aca="false">COUNTIF(Contracts!S123:S159,"&gt;0")</f>
        <v>35</v>
      </c>
      <c r="T170" s="69" t="n">
        <f aca="false">COUNTIF(Contracts!T123:T159,"&gt;0")</f>
        <v>36</v>
      </c>
      <c r="U170" s="69" t="n">
        <f aca="false">COUNTIF(Contracts!U123:U159,"&gt;0")</f>
        <v>36</v>
      </c>
      <c r="V170" s="69" t="n">
        <f aca="false">COUNTIF(Contracts!V123:V159,"&gt;0")</f>
        <v>36</v>
      </c>
      <c r="W170" s="69" t="n">
        <f aca="false">COUNTIF(Contracts!W123:W159,"&gt;0")</f>
        <v>36</v>
      </c>
      <c r="X170" s="69" t="n">
        <f aca="false">COUNTIF(Contracts!X123:X159,"&gt;0")</f>
        <v>36</v>
      </c>
      <c r="Y170" s="69" t="n">
        <f aca="false">COUNTIF(Contracts!Y123:Y159,"&gt;0")</f>
        <v>36</v>
      </c>
      <c r="Z170" s="69" t="n">
        <f aca="false">COUNTIF(Contracts!Z123:Z159,"&gt;0")</f>
        <v>36</v>
      </c>
      <c r="AA170" s="69" t="n">
        <f aca="false">COUNTIF(Contracts!AA123:AA159,"&gt;0")</f>
        <v>36</v>
      </c>
      <c r="AB170" s="69" t="n">
        <f aca="false">COUNTIF(Contracts!AB123:AB159,"&gt;0")</f>
        <v>36</v>
      </c>
    </row>
    <row r="171" customFormat="false" ht="15" hidden="false" customHeight="false" outlineLevel="0" collapsed="false">
      <c r="A171" s="27" t="s">
        <v>867</v>
      </c>
      <c r="B171" s="63" t="s">
        <v>868</v>
      </c>
      <c r="C171" s="74" t="n">
        <f aca="false">SUM(E171:P171)</f>
        <v>518</v>
      </c>
      <c r="D171" s="74" t="n">
        <f aca="false">SUM(Q171:AB171)</f>
        <v>163</v>
      </c>
      <c r="E171" s="75" t="n">
        <f aca="false">SUMPRODUCT((Contract_Register!$T$7:$T$43=Assumptions!E$201)*Contracts!E9:E45)</f>
        <v>0</v>
      </c>
      <c r="F171" s="75" t="n">
        <f aca="false">SUMPRODUCT((Contract_Register!$T$7:$T$43=Assumptions!F$201)*Contracts!F9:F45)</f>
        <v>0</v>
      </c>
      <c r="G171" s="75" t="n">
        <f aca="false">SUMPRODUCT((Contract_Register!$T$7:$T$43=Assumptions!G$201)*Contracts!G9:G45)</f>
        <v>80</v>
      </c>
      <c r="H171" s="75" t="n">
        <f aca="false">SUMPRODUCT((Contract_Register!$T$7:$T$43=Assumptions!H$201)*Contracts!H9:H45)</f>
        <v>0</v>
      </c>
      <c r="I171" s="75" t="n">
        <f aca="false">SUMPRODUCT((Contract_Register!$T$7:$T$43=Assumptions!I$201)*Contracts!I9:I45)</f>
        <v>66</v>
      </c>
      <c r="J171" s="75" t="n">
        <f aca="false">SUMPRODUCT((Contract_Register!$T$7:$T$43=Assumptions!J$201)*Contracts!J9:J45)</f>
        <v>0</v>
      </c>
      <c r="K171" s="75" t="n">
        <f aca="false">SUMPRODUCT((Contract_Register!$T$7:$T$43=Assumptions!K$201)*Contracts!K9:K45)</f>
        <v>108</v>
      </c>
      <c r="L171" s="75" t="n">
        <f aca="false">SUMPRODUCT((Contract_Register!$T$7:$T$43=Assumptions!L$201)*Contracts!L9:L45)</f>
        <v>0</v>
      </c>
      <c r="M171" s="75" t="n">
        <f aca="false">SUMPRODUCT((Contract_Register!$T$7:$T$43=Assumptions!M$201)*Contracts!M9:M45)</f>
        <v>0</v>
      </c>
      <c r="N171" s="75" t="n">
        <f aca="false">SUMPRODUCT((Contract_Register!$T$7:$T$43=Assumptions!N$201)*Contracts!N9:N45)</f>
        <v>0</v>
      </c>
      <c r="O171" s="75" t="n">
        <f aca="false">SUMPRODUCT((Contract_Register!$T$7:$T$43=Assumptions!O$201)*Contracts!O9:O45)</f>
        <v>264</v>
      </c>
      <c r="P171" s="75" t="n">
        <f aca="false">SUMPRODUCT((Contract_Register!$T$7:$T$43=Assumptions!P$201)*Contracts!P9:P45)</f>
        <v>0</v>
      </c>
      <c r="Q171" s="75" t="n">
        <f aca="false">SUMPRODUCT((Contract_Register!$T$7:$T$43=Assumptions!Q$201)*Contracts!Q9:Q45)</f>
        <v>60</v>
      </c>
      <c r="R171" s="75" t="n">
        <f aca="false">SUMPRODUCT((Contract_Register!$T$7:$T$43=Assumptions!R$201)*Contracts!R9:R45)</f>
        <v>63</v>
      </c>
      <c r="S171" s="75" t="n">
        <f aca="false">SUMPRODUCT((Contract_Register!$T$7:$T$43=Assumptions!S$201)*Contracts!S9:S45)</f>
        <v>0</v>
      </c>
      <c r="T171" s="75" t="n">
        <f aca="false">SUMPRODUCT((Contract_Register!$T$7:$T$43=Assumptions!T$201)*Contracts!T9:T45)</f>
        <v>40</v>
      </c>
      <c r="U171" s="75" t="n">
        <f aca="false">SUMPRODUCT((Contract_Register!$T$7:$T$43=Assumptions!U$201)*Contracts!U9:U45)</f>
        <v>0</v>
      </c>
      <c r="V171" s="75" t="n">
        <f aca="false">SUMPRODUCT((Contract_Register!$T$7:$T$43=Assumptions!V$201)*Contracts!V9:V45)</f>
        <v>0</v>
      </c>
      <c r="W171" s="75" t="n">
        <f aca="false">SUMPRODUCT((Contract_Register!$T$7:$T$43=Assumptions!W$201)*Contracts!W9:W45)</f>
        <v>0</v>
      </c>
      <c r="X171" s="75" t="n">
        <f aca="false">SUMPRODUCT((Contract_Register!$T$7:$T$43=Assumptions!X$201)*Contracts!X9:X45)</f>
        <v>0</v>
      </c>
      <c r="Y171" s="75" t="n">
        <f aca="false">SUMPRODUCT((Contract_Register!$T$7:$T$43=Assumptions!Y$201)*Contracts!Y9:Y45)</f>
        <v>0</v>
      </c>
      <c r="Z171" s="75" t="n">
        <f aca="false">SUMPRODUCT((Contract_Register!$T$7:$T$43=Assumptions!Z$201)*Contracts!Z9:Z45)</f>
        <v>0</v>
      </c>
      <c r="AA171" s="75" t="n">
        <f aca="false">SUMPRODUCT((Contract_Register!$T$7:$T$43=Assumptions!AA$201)*Contracts!AA9:AA45)</f>
        <v>0</v>
      </c>
      <c r="AB171" s="75" t="n">
        <f aca="false">SUMPRODUCT((Contract_Register!$T$7:$T$43=Assumptions!AB$201)*Contracts!AB9:AB45)</f>
        <v>0</v>
      </c>
    </row>
    <row r="172" customFormat="false" ht="15" hidden="false" customHeight="false" outlineLevel="0" collapsed="false">
      <c r="A172" s="27" t="s">
        <v>869</v>
      </c>
      <c r="B172" s="63" t="s">
        <v>870</v>
      </c>
      <c r="C172" s="66" t="n">
        <f aca="false">SUM(E172:P172)</f>
        <v>362136</v>
      </c>
      <c r="D172" s="66" t="n">
        <f aca="false">SUM(Q172:AB172)</f>
        <v>122271</v>
      </c>
      <c r="E172" s="67" t="n">
        <f aca="false">12*SUMPRODUCT((Contract_Register!$T$7:$T$43=Assumptions!E$201)*Contracts!E123:E159)</f>
        <v>0</v>
      </c>
      <c r="F172" s="67" t="n">
        <f aca="false">12*SUMPRODUCT((Contract_Register!$T$7:$T$43=Assumptions!F$201)*Contracts!F123:F159)</f>
        <v>0</v>
      </c>
      <c r="G172" s="67" t="n">
        <f aca="false">12*SUMPRODUCT((Contract_Register!$T$7:$T$43=Assumptions!G$201)*Contracts!G123:G159)</f>
        <v>63072</v>
      </c>
      <c r="H172" s="67" t="n">
        <f aca="false">12*SUMPRODUCT((Contract_Register!$T$7:$T$43=Assumptions!H$201)*Contracts!H123:H159)</f>
        <v>0</v>
      </c>
      <c r="I172" s="67" t="n">
        <f aca="false">12*SUMPRODUCT((Contract_Register!$T$7:$T$43=Assumptions!I$201)*Contracts!I123:I159)</f>
        <v>50832</v>
      </c>
      <c r="J172" s="67" t="n">
        <f aca="false">12*SUMPRODUCT((Contract_Register!$T$7:$T$43=Assumptions!J$201)*Contracts!J123:J159)</f>
        <v>0</v>
      </c>
      <c r="K172" s="67" t="n">
        <f aca="false">12*SUMPRODUCT((Contract_Register!$T$7:$T$43=Assumptions!K$201)*Contracts!K123:K159)</f>
        <v>76896</v>
      </c>
      <c r="L172" s="67" t="n">
        <f aca="false">12*SUMPRODUCT((Contract_Register!$T$7:$T$43=Assumptions!L$201)*Contracts!L123:L159)</f>
        <v>0</v>
      </c>
      <c r="M172" s="67" t="n">
        <f aca="false">12*SUMPRODUCT((Contract_Register!$T$7:$T$43=Assumptions!M$201)*Contracts!M123:M159)</f>
        <v>0</v>
      </c>
      <c r="N172" s="67" t="n">
        <f aca="false">12*SUMPRODUCT((Contract_Register!$T$7:$T$43=Assumptions!N$201)*Contracts!N123:N159)</f>
        <v>0</v>
      </c>
      <c r="O172" s="67" t="n">
        <f aca="false">12*SUMPRODUCT((Contract_Register!$T$7:$T$43=Assumptions!O$201)*Contracts!O123:O159)</f>
        <v>171336</v>
      </c>
      <c r="P172" s="67" t="n">
        <f aca="false">12*SUMPRODUCT((Contract_Register!$T$7:$T$43=Assumptions!P$201)*Contracts!P123:P159)</f>
        <v>0</v>
      </c>
      <c r="Q172" s="67" t="n">
        <f aca="false">12*SUMPRODUCT((Contract_Register!$T$7:$T$43=Assumptions!Q$201)*Contracts!Q123:Q159)</f>
        <v>44640</v>
      </c>
      <c r="R172" s="67" t="n">
        <f aca="false">12*SUMPRODUCT((Contract_Register!$T$7:$T$43=Assumptions!R$201)*Contracts!R123:R159)</f>
        <v>46575</v>
      </c>
      <c r="S172" s="67" t="n">
        <f aca="false">12*SUMPRODUCT((Contract_Register!$T$7:$T$43=Assumptions!S$201)*Contracts!S123:S159)</f>
        <v>0</v>
      </c>
      <c r="T172" s="67" t="n">
        <f aca="false">12*SUMPRODUCT((Contract_Register!$T$7:$T$43=Assumptions!T$201)*Contracts!T123:T159)</f>
        <v>31056</v>
      </c>
      <c r="U172" s="67" t="n">
        <f aca="false">12*SUMPRODUCT((Contract_Register!$T$7:$T$43=Assumptions!U$201)*Contracts!U123:U159)</f>
        <v>0</v>
      </c>
      <c r="V172" s="67" t="n">
        <f aca="false">12*SUMPRODUCT((Contract_Register!$T$7:$T$43=Assumptions!V$201)*Contracts!V123:V159)</f>
        <v>0</v>
      </c>
      <c r="W172" s="67" t="n">
        <f aca="false">12*SUMPRODUCT((Contract_Register!$T$7:$T$43=Assumptions!W$201)*Contracts!W123:W159)</f>
        <v>0</v>
      </c>
      <c r="X172" s="67" t="n">
        <f aca="false">12*SUMPRODUCT((Contract_Register!$T$7:$T$43=Assumptions!X$201)*Contracts!X123:X159)</f>
        <v>0</v>
      </c>
      <c r="Y172" s="67" t="n">
        <f aca="false">12*SUMPRODUCT((Contract_Register!$T$7:$T$43=Assumptions!Y$201)*Contracts!Y123:Y159)</f>
        <v>0</v>
      </c>
      <c r="Z172" s="67" t="n">
        <f aca="false">12*SUMPRODUCT((Contract_Register!$T$7:$T$43=Assumptions!Z$201)*Contracts!Z123:Z159)</f>
        <v>0</v>
      </c>
      <c r="AA172" s="67" t="n">
        <f aca="false">12*SUMPRODUCT((Contract_Register!$T$7:$T$43=Assumptions!AA$201)*Contracts!AA123:AA159)</f>
        <v>0</v>
      </c>
      <c r="AB172" s="67" t="n">
        <f aca="false">12*SUMPRODUCT((Contract_Register!$T$7:$T$43=Assumptions!AB$201)*Contracts!AB123:AB159)</f>
        <v>0</v>
      </c>
    </row>
    <row r="173" customFormat="false" ht="15" hidden="false" customHeight="false" outlineLevel="0" collapsed="false">
      <c r="A173" s="27" t="s">
        <v>871</v>
      </c>
      <c r="B173" s="63"/>
      <c r="C173" s="66" t="n">
        <f aca="false">SUM(E173:P173)</f>
        <v>79764.00569426</v>
      </c>
      <c r="D173" s="66" t="n">
        <f aca="false">SUM(Q173:AB173)</f>
        <v>89027.8474812533</v>
      </c>
      <c r="E173" s="67" t="n">
        <f aca="false">SUMPRODUCT((MOD(Assumptions!E$201-Contract_Register!$T$7:$T$43,Assumptions!$C$90)=0)*(Assumptions!E$201&gt;Contract_Register!$T$7:$T$43)*History!$N$54:$N$90)</f>
        <v>7320</v>
      </c>
      <c r="F173" s="67" t="n">
        <f aca="false">SUMPRODUCT((MOD(Assumptions!F$201-Contract_Register!$T$7:$T$43,Assumptions!$C$90)=0)*(Assumptions!F$201&gt;Contract_Register!$T$7:$T$43)*Contracts!E123:E159)</f>
        <v>7790</v>
      </c>
      <c r="G173" s="67" t="n">
        <f aca="false">SUMPRODUCT((MOD(Assumptions!G$201-Contract_Register!$T$7:$T$43,Assumptions!$C$90)=0)*(Assumptions!G$201&gt;Contract_Register!$T$7:$T$43)*Contracts!F123:F159)</f>
        <v>6524</v>
      </c>
      <c r="H173" s="67" t="n">
        <f aca="false">SUMPRODUCT((MOD(Assumptions!H$201-Contract_Register!$T$7:$T$43,Assumptions!$C$90)=0)*(Assumptions!H$201&gt;Contract_Register!$T$7:$T$43)*Contracts!G123:G159)</f>
        <v>0</v>
      </c>
      <c r="I173" s="67" t="n">
        <f aca="false">SUMPRODUCT((MOD(Assumptions!I$201-Contract_Register!$T$7:$T$43,Assumptions!$C$90)=0)*(Assumptions!I$201&gt;Contract_Register!$T$7:$T$43)*Contracts!H123:H159)</f>
        <v>13423</v>
      </c>
      <c r="J173" s="67" t="n">
        <f aca="false">SUMPRODUCT((MOD(Assumptions!J$201-Contract_Register!$T$7:$T$43,Assumptions!$C$90)=0)*(Assumptions!J$201&gt;Contract_Register!$T$7:$T$43)*Contracts!I123:I159)</f>
        <v>0</v>
      </c>
      <c r="K173" s="67" t="n">
        <f aca="false">SUMPRODUCT((MOD(Assumptions!K$201-Contract_Register!$T$7:$T$43,Assumptions!$C$90)=0)*(Assumptions!K$201&gt;Contract_Register!$T$7:$T$43)*Contracts!J123:J159)</f>
        <v>8515</v>
      </c>
      <c r="L173" s="67" t="n">
        <f aca="false">SUMPRODUCT((MOD(Assumptions!L$201-Contract_Register!$T$7:$T$43,Assumptions!$C$90)=0)*(Assumptions!L$201&gt;Contract_Register!$T$7:$T$43)*Contracts!K123:K159)</f>
        <v>6248</v>
      </c>
      <c r="M173" s="67" t="n">
        <f aca="false">SUMPRODUCT((MOD(Assumptions!M$201-Contract_Register!$T$7:$T$43,Assumptions!$C$90)=0)*(Assumptions!M$201&gt;Contract_Register!$T$7:$T$43)*Contracts!L123:L159)</f>
        <v>0</v>
      </c>
      <c r="N173" s="67" t="n">
        <f aca="false">SUMPRODUCT((MOD(Assumptions!N$201-Contract_Register!$T$7:$T$43,Assumptions!$C$90)=0)*(Assumptions!N$201&gt;Contract_Register!$T$7:$T$43)*Contracts!M123:M159)</f>
        <v>17020.479</v>
      </c>
      <c r="O173" s="67" t="n">
        <f aca="false">SUMPRODUCT((MOD(Assumptions!O$201-Contract_Register!$T$7:$T$43,Assumptions!$C$90)=0)*(Assumptions!O$201&gt;Contract_Register!$T$7:$T$43)*Contracts!N123:N159)</f>
        <v>6758.3031</v>
      </c>
      <c r="P173" s="67" t="n">
        <f aca="false">SUMPRODUCT((MOD(Assumptions!P$201-Contract_Register!$T$7:$T$43,Assumptions!$C$90)=0)*(Assumptions!P$201&gt;Contract_Register!$T$7:$T$43)*Contracts!O123:O159)</f>
        <v>6165.22359426</v>
      </c>
      <c r="Q173" s="67" t="n">
        <f aca="false">SUMPRODUCT((MOD(Assumptions!Q$201-Contract_Register!$T$7:$T$43,Assumptions!$C$90)=0)*(Assumptions!Q$201&gt;Contract_Register!$T$7:$T$43)*Contracts!P123:P159)</f>
        <v>7552.74298093262</v>
      </c>
      <c r="R173" s="67" t="n">
        <f aca="false">SUMPRODUCT((MOD(Assumptions!R$201-Contract_Register!$T$7:$T$43,Assumptions!$C$90)=0)*(Assumptions!R$201&gt;Contract_Register!$T$7:$T$43)*Contracts!Q123:Q159)</f>
        <v>6111.07536578479</v>
      </c>
      <c r="S173" s="67" t="n">
        <f aca="false">SUMPRODUCT((MOD(Assumptions!S$201-Contract_Register!$T$7:$T$43,Assumptions!$C$90)=0)*(Assumptions!S$201&gt;Contract_Register!$T$7:$T$43)*Contracts!R123:R159)</f>
        <v>23332.0522223397</v>
      </c>
      <c r="T173" s="67" t="n">
        <f aca="false">SUMPRODUCT((MOD(Assumptions!T$201-Contract_Register!$T$7:$T$43,Assumptions!$C$90)=0)*(Assumptions!T$201&gt;Contract_Register!$T$7:$T$43)*Contracts!S123:S159)</f>
        <v>9505.60430240317</v>
      </c>
      <c r="U173" s="67" t="n">
        <f aca="false">SUMPRODUCT((MOD(Assumptions!U$201-Contract_Register!$T$7:$T$43,Assumptions!$C$90)=0)*(Assumptions!U$201&gt;Contract_Register!$T$7:$T$43)*Contracts!T123:T159)</f>
        <v>5470.20458836465</v>
      </c>
      <c r="V173" s="67" t="n">
        <f aca="false">SUMPRODUCT((MOD(Assumptions!V$201-Contract_Register!$T$7:$T$43,Assumptions!$C$90)=0)*(Assumptions!V$201&gt;Contract_Register!$T$7:$T$43)*Contracts!U123:U159)</f>
        <v>0</v>
      </c>
      <c r="W173" s="67" t="n">
        <f aca="false">SUMPRODUCT((MOD(Assumptions!W$201-Contract_Register!$T$7:$T$43,Assumptions!$C$90)=0)*(Assumptions!W$201&gt;Contract_Register!$T$7:$T$43)*Contracts!V123:V159)</f>
        <v>3922.71808814372</v>
      </c>
      <c r="X173" s="67" t="n">
        <f aca="false">SUMPRODUCT((MOD(Assumptions!X$201-Contract_Register!$T$7:$T$43,Assumptions!$C$90)=0)*(Assumptions!X$201&gt;Contract_Register!$T$7:$T$43)*Contracts!W123:W159)</f>
        <v>22817.4400686836</v>
      </c>
      <c r="Y173" s="67" t="n">
        <f aca="false">SUMPRODUCT((MOD(Assumptions!Y$201-Contract_Register!$T$7:$T$43,Assumptions!$C$90)=0)*(Assumptions!Y$201&gt;Contract_Register!$T$7:$T$43)*Contracts!X123:X159)</f>
        <v>0</v>
      </c>
      <c r="Z173" s="67" t="n">
        <f aca="false">SUMPRODUCT((MOD(Assumptions!Z$201-Contract_Register!$T$7:$T$43,Assumptions!$C$90)=0)*(Assumptions!Z$201&gt;Contract_Register!$T$7:$T$43)*Contracts!Y123:Y159)</f>
        <v>4100.68170548742</v>
      </c>
      <c r="AA173" s="67" t="n">
        <f aca="false">SUMPRODUCT((MOD(Assumptions!AA$201-Contract_Register!$T$7:$T$43,Assumptions!$C$90)=0)*(Assumptions!AA$201&gt;Contract_Register!$T$7:$T$43)*Contracts!Z123:Z159)</f>
        <v>6215.32815911355</v>
      </c>
      <c r="AB173" s="67" t="n">
        <f aca="false">SUMPRODUCT((MOD(Assumptions!AB$201-Contract_Register!$T$7:$T$43,Assumptions!$C$90)=0)*(Assumptions!AB$201&gt;Contract_Register!$T$7:$T$43)*Contracts!AA123:AA159)</f>
        <v>0</v>
      </c>
    </row>
    <row r="174" customFormat="false" ht="15" hidden="false" customHeight="false" outlineLevel="0" collapsed="false">
      <c r="A174" s="27" t="s">
        <v>872</v>
      </c>
      <c r="B174" s="63"/>
      <c r="C174" s="66" t="n">
        <f aca="false">SUM(E174:P174)</f>
        <v>10824.5463683112</v>
      </c>
      <c r="D174" s="66" t="n">
        <f aca="false">SUM(Q174:AB174)</f>
        <v>6554.33922897683</v>
      </c>
      <c r="E174" s="67" t="n">
        <f aca="false">IF(E$5="A",SUMPRODUCT((MOD(Assumptions!E$201-Contract_Register!$T$7:$T$43,Assumptions!$C$90)=0)*(Assumptions!E$201&gt;Contract_Register!$T$7:$T$43)*History!$N$54:$N$90*(Contracts!E123:E159=0)),SUMPRODUCT((MOD(Assumptions!E$201-Contract_Register!$T$7:$T$43,Assumptions!$C$90)=0)*(Assumptions!E$201&gt;Contract_Register!$T$7:$T$43)*History!$N$54:$N$90*(1-Contract_Register!$S$7:$S$43)))</f>
        <v>0</v>
      </c>
      <c r="F174" s="67" t="n">
        <f aca="false">IF(F$5="A",SUMPRODUCT((MOD(Assumptions!F$201-Contract_Register!$T$7:$T$43,Assumptions!$C$90)=0)*(Assumptions!F$201&gt;Contract_Register!$T$7:$T$43)*Contracts!E123:E159*(Contracts!F123:F159=0)),SUMPRODUCT((MOD(Assumptions!F$201-Contract_Register!$T$7:$T$43,Assumptions!$C$90)=0)*(Assumptions!F$201&gt;Contract_Register!$T$7:$T$43)*Contracts!E123:E159*(1-Contract_Register!$S$7:$S$43)))</f>
        <v>0</v>
      </c>
      <c r="G174" s="67" t="n">
        <f aca="false">IF(G$5="A",SUMPRODUCT((MOD(Assumptions!G$201-Contract_Register!$T$7:$T$43,Assumptions!$C$90)=0)*(Assumptions!G$201&gt;Contract_Register!$T$7:$T$43)*Contracts!F123:F159*(Contracts!G123:G159=0)),SUMPRODUCT((MOD(Assumptions!G$201-Contract_Register!$T$7:$T$43,Assumptions!$C$90)=0)*(Assumptions!G$201&gt;Contract_Register!$T$7:$T$43)*Contracts!F123:F159*(1-Contract_Register!$S$7:$S$43)))</f>
        <v>0</v>
      </c>
      <c r="H174" s="67" t="n">
        <f aca="false">IF(H$5="A",SUMPRODUCT((MOD(Assumptions!H$201-Contract_Register!$T$7:$T$43,Assumptions!$C$90)=0)*(Assumptions!H$201&gt;Contract_Register!$T$7:$T$43)*Contracts!G123:G159*(Contracts!H123:H159=0)),SUMPRODUCT((MOD(Assumptions!H$201-Contract_Register!$T$7:$T$43,Assumptions!$C$90)=0)*(Assumptions!H$201&gt;Contract_Register!$T$7:$T$43)*Contracts!G123:G159*(1-Contract_Register!$S$7:$S$43)))</f>
        <v>0</v>
      </c>
      <c r="I174" s="67" t="n">
        <f aca="false">IF(I$5="A",SUMPRODUCT((MOD(Assumptions!I$201-Contract_Register!$T$7:$T$43,Assumptions!$C$90)=0)*(Assumptions!I$201&gt;Contract_Register!$T$7:$T$43)*Contracts!H123:H159*(Contracts!I123:I159=0)),SUMPRODUCT((MOD(Assumptions!I$201-Contract_Register!$T$7:$T$43,Assumptions!$C$90)=0)*(Assumptions!I$201&gt;Contract_Register!$T$7:$T$43)*Contracts!H123:H159*(1-Contract_Register!$S$7:$S$43)))</f>
        <v>8250</v>
      </c>
      <c r="J174" s="67" t="n">
        <f aca="false">IF(J$5="A",SUMPRODUCT((MOD(Assumptions!J$201-Contract_Register!$T$7:$T$43,Assumptions!$C$90)=0)*(Assumptions!J$201&gt;Contract_Register!$T$7:$T$43)*Contracts!I123:I159*(Contracts!J123:J159=0)),SUMPRODUCT((MOD(Assumptions!J$201-Contract_Register!$T$7:$T$43,Assumptions!$C$90)=0)*(Assumptions!J$201&gt;Contract_Register!$T$7:$T$43)*Contracts!I123:I159*(1-Contract_Register!$S$7:$S$43)))</f>
        <v>0</v>
      </c>
      <c r="K174" s="67" t="n">
        <f aca="false">IF(K$5="A",SUMPRODUCT((MOD(Assumptions!K$201-Contract_Register!$T$7:$T$43,Assumptions!$C$90)=0)*(Assumptions!K$201&gt;Contract_Register!$T$7:$T$43)*Contracts!J123:J159*(Contracts!K123:K159=0)),SUMPRODUCT((MOD(Assumptions!K$201-Contract_Register!$T$7:$T$43,Assumptions!$C$90)=0)*(Assumptions!K$201&gt;Contract_Register!$T$7:$T$43)*Contracts!J123:J159*(1-Contract_Register!$S$7:$S$43)))</f>
        <v>0</v>
      </c>
      <c r="L174" s="67" t="n">
        <f aca="false">IF(L$5="A",SUMPRODUCT((MOD(Assumptions!L$201-Contract_Register!$T$7:$T$43,Assumptions!$C$90)=0)*(Assumptions!L$201&gt;Contract_Register!$T$7:$T$43)*Contracts!K123:K159*(Contracts!L123:L159=0)),SUMPRODUCT((MOD(Assumptions!L$201-Contract_Register!$T$7:$T$43,Assumptions!$C$90)=0)*(Assumptions!L$201&gt;Contract_Register!$T$7:$T$43)*Contracts!K123:K159*(1-Contract_Register!$S$7:$S$43)))</f>
        <v>0</v>
      </c>
      <c r="M174" s="67" t="n">
        <f aca="false">IF(M$5="A",SUMPRODUCT((MOD(Assumptions!M$201-Contract_Register!$T$7:$T$43,Assumptions!$C$90)=0)*(Assumptions!M$201&gt;Contract_Register!$T$7:$T$43)*Contracts!L123:L159*(Contracts!M123:M159=0)),SUMPRODUCT((MOD(Assumptions!M$201-Contract_Register!$T$7:$T$43,Assumptions!$C$90)=0)*(Assumptions!M$201&gt;Contract_Register!$T$7:$T$43)*Contracts!L123:L159*(1-Contract_Register!$S$7:$S$43)))</f>
        <v>0</v>
      </c>
      <c r="N174" s="67" t="n">
        <f aca="false">IF(N$5="A",SUMPRODUCT((MOD(Assumptions!N$201-Contract_Register!$T$7:$T$43,Assumptions!$C$90)=0)*(Assumptions!N$201&gt;Contract_Register!$T$7:$T$43)*Contracts!M123:M159*(Contracts!N123:N159=0)),SUMPRODUCT((MOD(Assumptions!N$201-Contract_Register!$T$7:$T$43,Assumptions!$C$90)=0)*(Assumptions!N$201&gt;Contract_Register!$T$7:$T$43)*Contracts!M123:M159*(1-Contract_Register!$S$7:$S$43)))</f>
        <v>1361.63832</v>
      </c>
      <c r="O174" s="67" t="n">
        <f aca="false">IF(O$5="A",SUMPRODUCT((MOD(Assumptions!O$201-Contract_Register!$T$7:$T$43,Assumptions!$C$90)=0)*(Assumptions!O$201&gt;Contract_Register!$T$7:$T$43)*Contracts!N123:N159*(Contracts!O123:O159=0)),SUMPRODUCT((MOD(Assumptions!O$201-Contract_Register!$T$7:$T$43,Assumptions!$C$90)=0)*(Assumptions!O$201&gt;Contract_Register!$T$7:$T$43)*Contracts!N123:N159*(1-Contract_Register!$S$7:$S$43)))</f>
        <v>473.081217</v>
      </c>
      <c r="P174" s="67" t="n">
        <f aca="false">IF(P$5="A",SUMPRODUCT((MOD(Assumptions!P$201-Contract_Register!$T$7:$T$43,Assumptions!$C$90)=0)*(Assumptions!P$201&gt;Contract_Register!$T$7:$T$43)*Contracts!O123:O159*(Contracts!P123:P159=0)),SUMPRODUCT((MOD(Assumptions!P$201-Contract_Register!$T$7:$T$43,Assumptions!$C$90)=0)*(Assumptions!P$201&gt;Contract_Register!$T$7:$T$43)*Contracts!O123:O159*(1-Contract_Register!$S$7:$S$43)))</f>
        <v>739.8268313112</v>
      </c>
      <c r="Q174" s="67" t="n">
        <f aca="false">IF(Q$5="A",SUMPRODUCT((MOD(Assumptions!Q$201-Contract_Register!$T$7:$T$43,Assumptions!$C$90)=0)*(Assumptions!Q$201&gt;Contract_Register!$T$7:$T$43)*Contracts!P123:P159*(Contracts!Q123:Q159=0)),SUMPRODUCT((MOD(Assumptions!Q$201-Contract_Register!$T$7:$T$43,Assumptions!$C$90)=0)*(Assumptions!Q$201&gt;Contract_Register!$T$7:$T$43)*Contracts!P123:P159*(1-Contract_Register!$S$7:$S$43)))</f>
        <v>528.692008665283</v>
      </c>
      <c r="R174" s="67" t="n">
        <f aca="false">IF(R$5="A",SUMPRODUCT((MOD(Assumptions!R$201-Contract_Register!$T$7:$T$43,Assumptions!$C$90)=0)*(Assumptions!R$201&gt;Contract_Register!$T$7:$T$43)*Contracts!Q123:Q159*(Contracts!R123:R159=0)),SUMPRODUCT((MOD(Assumptions!R$201-Contract_Register!$T$7:$T$43,Assumptions!$C$90)=0)*(Assumptions!R$201&gt;Contract_Register!$T$7:$T$43)*Contracts!Q123:Q159*(1-Contract_Register!$S$7:$S$43)))</f>
        <v>427.775275604935</v>
      </c>
      <c r="S174" s="67" t="n">
        <f aca="false">IF(S$5="A",SUMPRODUCT((MOD(Assumptions!S$201-Contract_Register!$T$7:$T$43,Assumptions!$C$90)=0)*(Assumptions!S$201&gt;Contract_Register!$T$7:$T$43)*Contracts!R123:R159*(Contracts!S123:S159=0)),SUMPRODUCT((MOD(Assumptions!S$201-Contract_Register!$T$7:$T$43,Assumptions!$C$90)=0)*(Assumptions!S$201&gt;Contract_Register!$T$7:$T$43)*Contracts!R123:R159*(1-Contract_Register!$S$7:$S$43)))</f>
        <v>2333.20522223397</v>
      </c>
      <c r="T174" s="67" t="n">
        <f aca="false">IF(T$5="A",SUMPRODUCT((MOD(Assumptions!T$201-Contract_Register!$T$7:$T$43,Assumptions!$C$90)=0)*(Assumptions!T$201&gt;Contract_Register!$T$7:$T$43)*Contracts!S123:S159*(Contracts!T123:T159=0)),SUMPRODUCT((MOD(Assumptions!T$201-Contract_Register!$T$7:$T$43,Assumptions!$C$90)=0)*(Assumptions!T$201&gt;Contract_Register!$T$7:$T$43)*Contracts!S123:S159*(1-Contract_Register!$S$7:$S$43)))</f>
        <v>665.392301168221</v>
      </c>
      <c r="U174" s="67" t="n">
        <f aca="false">IF(U$5="A",SUMPRODUCT((MOD(Assumptions!U$201-Contract_Register!$T$7:$T$43,Assumptions!$C$90)=0)*(Assumptions!U$201&gt;Contract_Register!$T$7:$T$43)*Contracts!T123:T159*(Contracts!U123:U159=0)),SUMPRODUCT((MOD(Assumptions!U$201-Contract_Register!$T$7:$T$43,Assumptions!$C$90)=0)*(Assumptions!U$201&gt;Contract_Register!$T$7:$T$43)*Contracts!T123:T159*(1-Contract_Register!$S$7:$S$43)))</f>
        <v>328.212275301879</v>
      </c>
      <c r="V174" s="67" t="n">
        <f aca="false">IF(V$5="A",SUMPRODUCT((MOD(Assumptions!V$201-Contract_Register!$T$7:$T$43,Assumptions!$C$90)=0)*(Assumptions!V$201&gt;Contract_Register!$T$7:$T$43)*Contracts!U123:U159*(Contracts!V123:V159=0)),SUMPRODUCT((MOD(Assumptions!V$201-Contract_Register!$T$7:$T$43,Assumptions!$C$90)=0)*(Assumptions!V$201&gt;Contract_Register!$T$7:$T$43)*Contracts!U123:U159*(1-Contract_Register!$S$7:$S$43)))</f>
        <v>0</v>
      </c>
      <c r="W174" s="67" t="n">
        <f aca="false">IF(W$5="A",SUMPRODUCT((MOD(Assumptions!W$201-Contract_Register!$T$7:$T$43,Assumptions!$C$90)=0)*(Assumptions!W$201&gt;Contract_Register!$T$7:$T$43)*Contracts!V123:V159*(Contracts!W123:W159=0)),SUMPRODUCT((MOD(Assumptions!W$201-Contract_Register!$T$7:$T$43,Assumptions!$C$90)=0)*(Assumptions!W$201&gt;Contract_Register!$T$7:$T$43)*Contracts!V123:V159*(1-Contract_Register!$S$7:$S$43)))</f>
        <v>274.59026617006</v>
      </c>
      <c r="X174" s="67" t="n">
        <f aca="false">IF(X$5="A",SUMPRODUCT((MOD(Assumptions!X$201-Contract_Register!$T$7:$T$43,Assumptions!$C$90)=0)*(Assumptions!X$201&gt;Contract_Register!$T$7:$T$43)*Contracts!W123:W159*(Contracts!X123:X159=0)),SUMPRODUCT((MOD(Assumptions!X$201-Contract_Register!$T$7:$T$43,Assumptions!$C$90)=0)*(Assumptions!X$201&gt;Contract_Register!$T$7:$T$43)*Contracts!W123:W159*(1-Contract_Register!$S$7:$S$43)))</f>
        <v>1418.5181050113</v>
      </c>
      <c r="Y174" s="67" t="n">
        <f aca="false">IF(Y$5="A",SUMPRODUCT((MOD(Assumptions!Y$201-Contract_Register!$T$7:$T$43,Assumptions!$C$90)=0)*(Assumptions!Y$201&gt;Contract_Register!$T$7:$T$43)*Contracts!X123:X159*(Contracts!Y123:Y159=0)),SUMPRODUCT((MOD(Assumptions!Y$201-Contract_Register!$T$7:$T$43,Assumptions!$C$90)=0)*(Assumptions!Y$201&gt;Contract_Register!$T$7:$T$43)*Contracts!X123:X159*(1-Contract_Register!$S$7:$S$43)))</f>
        <v>0</v>
      </c>
      <c r="Z174" s="67" t="n">
        <f aca="false">IF(Z$5="A",SUMPRODUCT((MOD(Assumptions!Z$201-Contract_Register!$T$7:$T$43,Assumptions!$C$90)=0)*(Assumptions!Z$201&gt;Contract_Register!$T$7:$T$43)*Contracts!Y123:Y159*(Contracts!Z123:Z159=0)),SUMPRODUCT((MOD(Assumptions!Z$201-Contract_Register!$T$7:$T$43,Assumptions!$C$90)=0)*(Assumptions!Z$201&gt;Contract_Register!$T$7:$T$43)*Contracts!Y123:Y159*(1-Contract_Register!$S$7:$S$43)))</f>
        <v>205.034085274371</v>
      </c>
      <c r="AA174" s="67" t="n">
        <f aca="false">IF(AA$5="A",SUMPRODUCT((MOD(Assumptions!AA$201-Contract_Register!$T$7:$T$43,Assumptions!$C$90)=0)*(Assumptions!AA$201&gt;Contract_Register!$T$7:$T$43)*Contracts!Z123:Z159*(Contracts!AA123:AA159=0)),SUMPRODUCT((MOD(Assumptions!AA$201-Contract_Register!$T$7:$T$43,Assumptions!$C$90)=0)*(Assumptions!AA$201&gt;Contract_Register!$T$7:$T$43)*Contracts!Z123:Z159*(1-Contract_Register!$S$7:$S$43)))</f>
        <v>372.919689546813</v>
      </c>
      <c r="AB174" s="67" t="n">
        <f aca="false">IF(AB$5="A",SUMPRODUCT((MOD(Assumptions!AB$201-Contract_Register!$T$7:$T$43,Assumptions!$C$90)=0)*(Assumptions!AB$201&gt;Contract_Register!$T$7:$T$43)*Contracts!AA123:AA159*(Contracts!AB123:AB159=0)),SUMPRODUCT((MOD(Assumptions!AB$201-Contract_Register!$T$7:$T$43,Assumptions!$C$90)=0)*(Assumptions!AB$201&gt;Contract_Register!$T$7:$T$43)*Contracts!AA123:AA159*(1-Contract_Register!$S$7:$S$43)))</f>
        <v>0</v>
      </c>
    </row>
    <row r="175" customFormat="false" ht="15" hidden="false" customHeight="false" outlineLevel="0" collapsed="false">
      <c r="A175" s="27" t="s">
        <v>873</v>
      </c>
      <c r="B175" s="63" t="s">
        <v>767</v>
      </c>
      <c r="C175" s="65" t="n">
        <f aca="false">P175</f>
        <v>0.999768521600653</v>
      </c>
      <c r="D175" s="65" t="n">
        <f aca="false">AB175</f>
        <v>1.02766411588763</v>
      </c>
      <c r="E175" s="64" t="n">
        <f aca="false">IF(SUM(History!$C$54:$C$90)=0,0,SUMPRODUCT((History!$C$54:$C$90&gt;0)*Contracts!E123:E159)/SUM(History!$C$54:$C$90))</f>
        <v>1.04723609134583</v>
      </c>
      <c r="F175" s="64" t="n">
        <f aca="false">IF(SUM(History!$D$54:$D$90)=0,0,SUMPRODUCT((History!$D$54:$D$90&gt;0)*Contracts!F123:F159)/SUM(History!$D$54:$D$90))</f>
        <v>1.04779165354493</v>
      </c>
      <c r="G175" s="64" t="n">
        <f aca="false">IF(SUM(History!$E$54:$E$90)=0,0,SUMPRODUCT((History!$E$54:$E$90&gt;0)*Contracts!G123:G159)/SUM(History!$E$54:$E$90))</f>
        <v>1.0477392969842</v>
      </c>
      <c r="H175" s="64" t="n">
        <f aca="false">IF(SUM(History!$F$54:$F$90)=0,0,SUMPRODUCT((History!$F$54:$F$90&gt;0)*Contracts!H123:H159)/SUM(History!$F$54:$F$90))</f>
        <v>1.04809308899112</v>
      </c>
      <c r="I175" s="64" t="n">
        <f aca="false">IF(SUM(History!$G$54:$G$90)=0,0,SUMPRODUCT((History!$G$54:$G$90&gt;0)*Contracts!I123:I159)/SUM(History!$G$54:$G$90))</f>
        <v>1.0076157006428</v>
      </c>
      <c r="J175" s="64" t="n">
        <f aca="false">IF(SUM(History!$H$54:$H$90)=0,0,SUMPRODUCT((History!$H$54:$H$90&gt;0)*Contracts!J123:J159)/SUM(History!$H$54:$H$90))</f>
        <v>1.00783152340158</v>
      </c>
      <c r="K175" s="64" t="n">
        <f aca="false">IF(SUM(History!$I$54:$I$90)=0,0,SUMPRODUCT((History!$I$54:$I$90&gt;0)*Contracts!K123:K159)/SUM(History!$I$54:$I$90))</f>
        <v>1.00768249573168</v>
      </c>
      <c r="L175" s="64" t="n">
        <f aca="false">IF(SUM(History!$J$54:$J$90)=0,0,SUMPRODUCT((History!$J$54:$J$90&gt;0)*Contracts!L123:L159)/SUM(History!$J$54:$J$90))</f>
        <v>1.0092170568112</v>
      </c>
      <c r="M175" s="64" t="n">
        <f aca="false">IF(SUM(History!$K$54:$K$90)=0,0,SUMPRODUCT((History!$K$54:$K$90&gt;0)*Contracts!M123:M159)/SUM(History!$K$54:$K$90))</f>
        <v>1.01047516632438</v>
      </c>
      <c r="N175" s="64" t="n">
        <f aca="false">IF(SUM(History!$L$54:$L$90)=0,0,SUMPRODUCT((History!$L$54:$L$90&gt;0)*Contracts!N123:N159)/SUM(History!$L$54:$L$90))</f>
        <v>1.00511014117411</v>
      </c>
      <c r="O175" s="64" t="n">
        <f aca="false">IF(SUM(History!$M$54:$M$90)=0,0,SUMPRODUCT((History!$M$54:$M$90&gt;0)*Contracts!O123:O159)/SUM(History!$M$54:$M$90))</f>
        <v>1.00255543392764</v>
      </c>
      <c r="P175" s="64" t="n">
        <f aca="false">IF(SUM(History!$N$54:$N$90)=0,0,SUMPRODUCT((History!$N$54:$N$90&gt;0)*Contracts!P123:P159)/SUM(History!$N$54:$N$90))</f>
        <v>0.999768521600653</v>
      </c>
      <c r="Q175" s="64" t="n">
        <f aca="false">IF(SUM(Contracts!E123:E159)=0,0,SUMPRODUCT((Contracts!E123:E159&gt;0)*Contracts!Q123:Q159)/SUM(Contracts!E123:E159))</f>
        <v>0.99875349789091</v>
      </c>
      <c r="R175" s="64" t="n">
        <f aca="false">IF(SUM(Contracts!F123:F159)=0,0,SUMPRODUCT((Contracts!F123:F159&gt;0)*Contracts!R123:R159)/SUM(Contracts!F123:F159))</f>
        <v>0.996782532451289</v>
      </c>
      <c r="S175" s="64" t="n">
        <f aca="false">IF(SUM(Contracts!G123:G159)=0,0,SUMPRODUCT((Contracts!G123:G159&gt;0)*Contracts!S123:S159)/SUM(Contracts!G123:G159))</f>
        <v>0.98870521931218</v>
      </c>
      <c r="T175" s="64" t="n">
        <f aca="false">IF(SUM(Contracts!H123:H159)=0,0,SUMPRODUCT((Contracts!H123:H159&gt;0)*Contracts!T123:T159)/SUM(Contracts!H123:H159))</f>
        <v>0.985611867796608</v>
      </c>
      <c r="U175" s="64" t="n">
        <f aca="false">IF(SUM(Contracts!I123:I159)=0,0,SUMPRODUCT((Contracts!I123:I159&gt;0)*Contracts!U123:U159)/SUM(Contracts!I123:I159))</f>
        <v>1.0218595113525</v>
      </c>
      <c r="V175" s="64" t="n">
        <f aca="false">IF(SUM(Contracts!J123:J159)=0,0,SUMPRODUCT((Contracts!J123:J159&gt;0)*Contracts!V123:V159)/SUM(Contracts!J123:J159))</f>
        <v>1.02193037810146</v>
      </c>
      <c r="W175" s="64" t="n">
        <f aca="false">IF(SUM(Contracts!K123:K159)=0,0,SUMPRODUCT((Contracts!K123:K159&gt;0)*Contracts!W123:W159)/SUM(Contracts!K123:K159))</f>
        <v>1.02314698529034</v>
      </c>
      <c r="X175" s="64" t="n">
        <f aca="false">IF(SUM(Contracts!L123:L159)=0,0,SUMPRODUCT((Contracts!L123:L159&gt;0)*Contracts!X123:X159)/SUM(Contracts!L123:L159))</f>
        <v>1.01684791058776</v>
      </c>
      <c r="Y175" s="64" t="n">
        <f aca="false">IF(SUM(Contracts!M123:M159)=0,0,SUMPRODUCT((Contracts!M123:M159&gt;0)*Contracts!Y123:Y159)/SUM(Contracts!M123:M159))</f>
        <v>1.01688994340032</v>
      </c>
      <c r="Z175" s="64" t="n">
        <f aca="false">IF(SUM(Contracts!N123:N159)=0,0,SUMPRODUCT((Contracts!N123:N159&gt;0)*Contracts!Z123:Z159)/SUM(Contracts!N123:N159))</f>
        <v>1.02194183674046</v>
      </c>
      <c r="AA175" s="64" t="n">
        <f aca="false">IF(SUM(Contracts!O123:O159)=0,0,SUMPRODUCT((Contracts!O123:O159&gt;0)*Contracts!AA123:AA159)/SUM(Contracts!O123:O159))</f>
        <v>1.02462549921937</v>
      </c>
      <c r="AB175" s="64" t="n">
        <f aca="false">IF(SUM(Contracts!P123:P159)=0,0,SUMPRODUCT((Contracts!P123:P159&gt;0)*Contracts!AB123:AB159)/SUM(Contracts!P123:P159))</f>
        <v>1.02766411588763</v>
      </c>
    </row>
    <row r="176" customFormat="false" ht="15" hidden="false" customHeight="false" outlineLevel="0" collapsed="false">
      <c r="A176" s="27" t="s">
        <v>874</v>
      </c>
      <c r="B176" s="63" t="s">
        <v>767</v>
      </c>
      <c r="C176" s="65" t="n">
        <f aca="false">P176</f>
        <v>0.956306560585923</v>
      </c>
      <c r="D176" s="65" t="n">
        <f aca="false">AB176</f>
        <v>0.991534066946617</v>
      </c>
      <c r="E176" s="64" t="n">
        <f aca="false">IF(SUM(History!$C$54:$C$90)=0,0,SUMPRODUCT((History!$C$54:$C$90&gt;0)*((Contracts!E123:E159&lt;History!$C$54:$C$90)*Contracts!E123:E159+(Contracts!E123:E159&gt;=History!$C$54:$C$90)*History!$C$54:$C$90))/SUM(History!$C$54:$C$90))</f>
        <v>1</v>
      </c>
      <c r="F176" s="64" t="n">
        <f aca="false">IF(SUM(History!$D$54:$D$90)=0,0,SUMPRODUCT((History!$D$54:$D$90&gt;0)*((Contracts!F123:F159&lt;History!$D$54:$D$90)*Contracts!F123:F159+(Contracts!F123:F159&gt;=History!$D$54:$D$90)*History!$D$54:$D$90))/SUM(History!$D$54:$D$90))</f>
        <v>1</v>
      </c>
      <c r="G176" s="64" t="n">
        <f aca="false">IF(SUM(History!$E$54:$E$90)=0,0,SUMPRODUCT((History!$E$54:$E$90&gt;0)*((Contracts!G123:G159&lt;History!$E$54:$E$90)*Contracts!G123:G159+(Contracts!G123:G159&gt;=History!$E$54:$E$90)*History!$E$54:$E$90))/SUM(History!$E$54:$E$90))</f>
        <v>1</v>
      </c>
      <c r="H176" s="64" t="n">
        <f aca="false">IF(SUM(History!$F$54:$F$90)=0,0,SUMPRODUCT((History!$F$54:$F$90&gt;0)*((Contracts!H123:H159&lt;History!$F$54:$F$90)*Contracts!H123:H159+(Contracts!H123:H159&gt;=History!$F$54:$F$90)*History!$F$54:$F$90))/SUM(History!$F$54:$F$90))</f>
        <v>1</v>
      </c>
      <c r="I176" s="64" t="n">
        <f aca="false">IF(SUM(History!$G$54:$G$90)=0,0,SUMPRODUCT((History!$G$54:$G$90&gt;0)*((Contracts!I123:I159&lt;History!$G$54:$G$90)*Contracts!I123:I159+(Contracts!I123:I159&gt;=History!$G$54:$G$90)*History!$G$54:$G$90))/SUM(History!$G$54:$G$90))</f>
        <v>0.960822142356379</v>
      </c>
      <c r="J176" s="64" t="n">
        <f aca="false">IF(SUM(History!$H$54:$H$90)=0,0,SUMPRODUCT((History!$H$54:$H$90&gt;0)*((Contracts!J123:J159&lt;History!$H$54:$H$90)*Contracts!J123:J159+(Contracts!J123:J159&gt;=History!$H$54:$H$90)*History!$H$54:$H$90))/SUM(History!$H$54:$H$90))</f>
        <v>0.961507028303392</v>
      </c>
      <c r="K176" s="64" t="n">
        <f aca="false">IF(SUM(History!$I$54:$I$90)=0,0,SUMPRODUCT((History!$I$54:$I$90&gt;0)*((Contracts!K123:K159&lt;History!$I$54:$I$90)*Contracts!K123:K159+(Contracts!K123:K159&gt;=History!$I$54:$I$90)*History!$I$54:$I$90))/SUM(History!$I$54:$I$90))</f>
        <v>0.961623107187685</v>
      </c>
      <c r="L176" s="64" t="n">
        <f aca="false">IF(SUM(History!$J$54:$J$90)=0,0,SUMPRODUCT((History!$J$54:$J$90&gt;0)*((Contracts!L123:L159&lt;History!$J$54:$J$90)*Contracts!L123:L159+(Contracts!L123:L159&gt;=History!$J$54:$J$90)*History!$J$54:$J$90))/SUM(History!$J$54:$J$90))</f>
        <v>0.961828481440291</v>
      </c>
      <c r="M176" s="64" t="n">
        <f aca="false">IF(SUM(History!$K$54:$K$90)=0,0,SUMPRODUCT((History!$K$54:$K$90&gt;0)*((Contracts!M123:M159&lt;History!$K$54:$K$90)*Contracts!M123:M159+(Contracts!M123:M159&gt;=History!$K$54:$K$90)*History!$K$54:$K$90))/SUM(History!$K$54:$K$90))</f>
        <v>0.962524238752776</v>
      </c>
      <c r="N176" s="64" t="n">
        <f aca="false">IF(SUM(History!$L$54:$L$90)=0,0,SUMPRODUCT((History!$L$54:$L$90&gt;0)*((Contracts!N123:N159&lt;History!$L$54:$L$90)*Contracts!N123:N159+(Contracts!N123:N159&gt;=History!$L$54:$L$90)*History!$L$54:$L$90))/SUM(History!$L$54:$L$90))</f>
        <v>0.95963999393717</v>
      </c>
      <c r="O176" s="64" t="n">
        <f aca="false">IF(SUM(History!$M$54:$M$90)=0,0,SUMPRODUCT((History!$M$54:$M$90&gt;0)*((Contracts!O123:O159&lt;History!$M$54:$M$90)*Contracts!O123:O159+(Contracts!O123:O159&gt;=History!$M$54:$M$90)*History!$M$54:$M$90))/SUM(History!$M$54:$M$90))</f>
        <v>0.958833559611453</v>
      </c>
      <c r="P176" s="64" t="n">
        <f aca="false">IF(SUM(History!$N$54:$N$90)=0,0,SUMPRODUCT((History!$N$54:$N$90&gt;0)*((Contracts!P123:P159&lt;History!$N$54:$N$90)*Contracts!P123:P159+(Contracts!P123:P159&gt;=History!$N$54:$N$90)*History!$N$54:$N$90))/SUM(History!$N$54:$N$90))</f>
        <v>0.956306560585923</v>
      </c>
      <c r="Q176" s="64" t="n">
        <f aca="false">IF(SUM(Contracts!E123:E159)=0,0,SUMPRODUCT((Contracts!E123:E159&gt;0)*((Contracts!Q123:Q159&lt;Contracts!E123:E159)*Contracts!Q123:Q159+(Contracts!Q123:Q159&gt;=Contracts!E123:E159)*Contracts!E123:E159))/SUM(Contracts!E123:E159))</f>
        <v>0.955807928040426</v>
      </c>
      <c r="R176" s="64" t="n">
        <f aca="false">IF(SUM(Contracts!F123:F159)=0,0,SUMPRODUCT((Contracts!F123:F159&gt;0)*((Contracts!R123:R159&lt;Contracts!F123:F159)*Contracts!R123:R159+(Contracts!R123:R159&gt;=Contracts!F123:F159)*Contracts!F123:F159))/SUM(Contracts!F123:F159))</f>
        <v>0.955759528180897</v>
      </c>
      <c r="S176" s="64" t="n">
        <f aca="false">IF(SUM(Contracts!G123:G159)=0,0,SUMPRODUCT((Contracts!G123:G159&gt;0)*((Contracts!S123:S159&lt;Contracts!G123:G159)*Contracts!S123:S159+(Contracts!S123:S159&gt;=Contracts!G123:G159)*Contracts!G123:G159))/SUM(Contracts!G123:G159))</f>
        <v>0.95146354857935</v>
      </c>
      <c r="T176" s="64" t="n">
        <f aca="false">IF(SUM(Contracts!H123:H159)=0,0,SUMPRODUCT((Contracts!H123:H159&gt;0)*((Contracts!T123:T159&lt;Contracts!H123:H159)*Contracts!T123:T159+(Contracts!T123:T159&gt;=Contracts!H123:H159)*Contracts!H123:H159))/SUM(Contracts!H123:H159))</f>
        <v>0.950792864326283</v>
      </c>
      <c r="U176" s="64" t="n">
        <f aca="false">IF(SUM(Contracts!I123:I159)=0,0,SUMPRODUCT((Contracts!I123:I159&gt;0)*((Contracts!U123:U159&lt;Contracts!I123:I159)*Contracts!U123:U159+(Contracts!U123:U159&gt;=Contracts!I123:I159)*Contracts!I123:I159))/SUM(Contracts!I123:I159))</f>
        <v>0.986643865720711</v>
      </c>
      <c r="V176" s="64" t="n">
        <f aca="false">IF(SUM(Contracts!J123:J159)=0,0,SUMPRODUCT((Contracts!J123:J159&gt;0)*((Contracts!V123:V159&lt;Contracts!J123:J159)*Contracts!V123:V159+(Contracts!V123:V159&gt;=Contracts!J123:J159)*Contracts!J123:J159))/SUM(Contracts!J123:J159))</f>
        <v>0.986370356752002</v>
      </c>
      <c r="W176" s="64" t="n">
        <f aca="false">IF(SUM(Contracts!K123:K159)=0,0,SUMPRODUCT((Contracts!K123:K159&gt;0)*((Contracts!W123:W159&lt;Contracts!K123:K159)*Contracts!W123:W159+(Contracts!W123:W159&gt;=Contracts!K123:K159)*Contracts!K123:K159))/SUM(Contracts!K123:K159))</f>
        <v>0.98641158455267</v>
      </c>
      <c r="X176" s="64" t="n">
        <f aca="false">IF(SUM(Contracts!L123:L159)=0,0,SUMPRODUCT((Contracts!L123:L159&gt;0)*((Contracts!X123:X159&lt;Contracts!L123:L159)*Contracts!X123:X159+(Contracts!X123:X159&gt;=Contracts!L123:L159)*Contracts!L123:L159))/SUM(Contracts!L123:L159))</f>
        <v>0.984966546789436</v>
      </c>
      <c r="Y176" s="64" t="n">
        <f aca="false">IF(SUM(Contracts!M123:M159)=0,0,SUMPRODUCT((Contracts!M123:M159&gt;0)*((Contracts!Y123:Y159&lt;Contracts!M123:M159)*Contracts!Y123:Y159+(Contracts!Y123:Y159&gt;=Contracts!M123:M159)*Contracts!M123:M159))/SUM(Contracts!M123:M159))</f>
        <v>0.984981345311607</v>
      </c>
      <c r="Z176" s="64" t="n">
        <f aca="false">IF(SUM(Contracts!N123:N159)=0,0,SUMPRODUCT((Contracts!N123:N159&gt;0)*((Contracts!Z123:Z159&lt;Contracts!N123:N159)*Contracts!Z123:Z159+(Contracts!Z123:Z159&gt;=Contracts!N123:N159)*Contracts!N123:N159))/SUM(Contracts!N123:N159))</f>
        <v>0.988007879924064</v>
      </c>
      <c r="AA176" s="64" t="n">
        <f aca="false">IF(SUM(Contracts!O123:O159)=0,0,SUMPRODUCT((Contracts!O123:O159&gt;0)*((Contracts!AA123:AA159&lt;Contracts!O123:O159)*Contracts!AA123:AA159+(Contracts!AA123:AA159&gt;=Contracts!O123:O159)*Contracts!O123:O159))/SUM(Contracts!O123:O159))</f>
        <v>0.989481097258227</v>
      </c>
      <c r="AB176" s="64" t="n">
        <f aca="false">IF(SUM(Contracts!P123:P159)=0,0,SUMPRODUCT((Contracts!P123:P159&gt;0)*((Contracts!AB123:AB159&lt;Contracts!P123:P159)*Contracts!AB123:AB159+(Contracts!AB123:AB159&gt;=Contracts!P123:P159)*Contracts!P123:P159))/SUM(Contracts!P123:P159))</f>
        <v>0.991534066946617</v>
      </c>
    </row>
    <row r="177" customFormat="false" ht="15" hidden="false" customHeight="false" outlineLevel="0" collapsed="false">
      <c r="A177" s="21" t="s">
        <v>875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row>
    <row r="178" customFormat="false" ht="15" hidden="false" customHeight="false" outlineLevel="0" collapsed="false">
      <c r="A178" s="27" t="s">
        <v>876</v>
      </c>
      <c r="B178" s="63" t="s">
        <v>877</v>
      </c>
      <c r="C178" s="66" t="n">
        <f aca="false">SUM(E178:P178)</f>
        <v>23310</v>
      </c>
      <c r="D178" s="66" t="n">
        <f aca="false">SUM(Q178:AB178)</f>
        <v>7335</v>
      </c>
      <c r="E178" s="67" t="n">
        <f aca="false">SUMPRODUCT((Contract_Register!$T$7:$T$43=Assumptions!E$201)*Contract_Register!$X$7:$X$43)</f>
        <v>0</v>
      </c>
      <c r="F178" s="67" t="n">
        <f aca="false">SUMPRODUCT((Contract_Register!$T$7:$T$43=Assumptions!F$201)*Contract_Register!$X$7:$X$43)</f>
        <v>0</v>
      </c>
      <c r="G178" s="67" t="n">
        <f aca="false">SUMPRODUCT((Contract_Register!$T$7:$T$43=Assumptions!G$201)*Contract_Register!$X$7:$X$43)</f>
        <v>3600</v>
      </c>
      <c r="H178" s="67" t="n">
        <f aca="false">SUMPRODUCT((Contract_Register!$T$7:$T$43=Assumptions!H$201)*Contract_Register!$X$7:$X$43)</f>
        <v>0</v>
      </c>
      <c r="I178" s="67" t="n">
        <f aca="false">SUMPRODUCT((Contract_Register!$T$7:$T$43=Assumptions!I$201)*Contract_Register!$X$7:$X$43)</f>
        <v>2970</v>
      </c>
      <c r="J178" s="67" t="n">
        <f aca="false">SUMPRODUCT((Contract_Register!$T$7:$T$43=Assumptions!J$201)*Contract_Register!$X$7:$X$43)</f>
        <v>0</v>
      </c>
      <c r="K178" s="67" t="n">
        <f aca="false">SUMPRODUCT((Contract_Register!$T$7:$T$43=Assumptions!K$201)*Contract_Register!$X$7:$X$43)</f>
        <v>4860</v>
      </c>
      <c r="L178" s="67" t="n">
        <f aca="false">SUMPRODUCT((Contract_Register!$T$7:$T$43=Assumptions!L$201)*Contract_Register!$X$7:$X$43)</f>
        <v>0</v>
      </c>
      <c r="M178" s="67" t="n">
        <f aca="false">SUMPRODUCT((Contract_Register!$T$7:$T$43=Assumptions!M$201)*Contract_Register!$X$7:$X$43)</f>
        <v>0</v>
      </c>
      <c r="N178" s="67" t="n">
        <f aca="false">SUMPRODUCT((Contract_Register!$T$7:$T$43=Assumptions!N$201)*Contract_Register!$X$7:$X$43)</f>
        <v>0</v>
      </c>
      <c r="O178" s="67" t="n">
        <f aca="false">SUMPRODUCT((Contract_Register!$T$7:$T$43=Assumptions!O$201)*Contract_Register!$X$7:$X$43)</f>
        <v>11880</v>
      </c>
      <c r="P178" s="67" t="n">
        <f aca="false">SUMPRODUCT((Contract_Register!$T$7:$T$43=Assumptions!P$201)*Contract_Register!$X$7:$X$43)</f>
        <v>0</v>
      </c>
      <c r="Q178" s="67" t="n">
        <f aca="false">SUMPRODUCT((Contract_Register!$T$7:$T$43=Assumptions!Q$201)*Contract_Register!$X$7:$X$43)</f>
        <v>2700</v>
      </c>
      <c r="R178" s="67" t="n">
        <f aca="false">SUMPRODUCT((Contract_Register!$T$7:$T$43=Assumptions!R$201)*Contract_Register!$X$7:$X$43)</f>
        <v>2835</v>
      </c>
      <c r="S178" s="67" t="n">
        <f aca="false">SUMPRODUCT((Contract_Register!$T$7:$T$43=Assumptions!S$201)*Contract_Register!$X$7:$X$43)</f>
        <v>0</v>
      </c>
      <c r="T178" s="67" t="n">
        <f aca="false">SUMPRODUCT((Contract_Register!$T$7:$T$43=Assumptions!T$201)*Contract_Register!$X$7:$X$43)</f>
        <v>1800</v>
      </c>
      <c r="U178" s="67" t="n">
        <f aca="false">SUMPRODUCT((Contract_Register!$T$7:$T$43=Assumptions!U$201)*Contract_Register!$X$7:$X$43)</f>
        <v>0</v>
      </c>
      <c r="V178" s="67" t="n">
        <f aca="false">SUMPRODUCT((Contract_Register!$T$7:$T$43=Assumptions!V$201)*Contract_Register!$X$7:$X$43)</f>
        <v>0</v>
      </c>
      <c r="W178" s="67" t="n">
        <f aca="false">SUMPRODUCT((Contract_Register!$T$7:$T$43=Assumptions!W$201)*Contract_Register!$X$7:$X$43)</f>
        <v>0</v>
      </c>
      <c r="X178" s="67" t="n">
        <f aca="false">SUMPRODUCT((Contract_Register!$T$7:$T$43=Assumptions!X$201)*Contract_Register!$X$7:$X$43)</f>
        <v>0</v>
      </c>
      <c r="Y178" s="67" t="n">
        <f aca="false">SUMPRODUCT((Contract_Register!$T$7:$T$43=Assumptions!Y$201)*Contract_Register!$X$7:$X$43)</f>
        <v>0</v>
      </c>
      <c r="Z178" s="67" t="n">
        <f aca="false">SUMPRODUCT((Contract_Register!$T$7:$T$43=Assumptions!Z$201)*Contract_Register!$X$7:$X$43)</f>
        <v>0</v>
      </c>
      <c r="AA178" s="67" t="n">
        <f aca="false">SUMPRODUCT((Contract_Register!$T$7:$T$43=Assumptions!AA$201)*Contract_Register!$X$7:$X$43)</f>
        <v>0</v>
      </c>
      <c r="AB178" s="67" t="n">
        <f aca="false">SUMPRODUCT((Contract_Register!$T$7:$T$43=Assumptions!AB$201)*Contract_Register!$X$7:$X$43)</f>
        <v>0</v>
      </c>
    </row>
    <row r="179" customFormat="false" ht="15" hidden="false" customHeight="false" outlineLevel="0" collapsed="false">
      <c r="A179" s="27" t="s">
        <v>878</v>
      </c>
      <c r="B179" s="63"/>
      <c r="C179" s="66" t="n">
        <f aca="false">SUM(E179:P179)</f>
        <v>23310</v>
      </c>
      <c r="D179" s="66" t="n">
        <f aca="false">SUM(Q179:AB179)</f>
        <v>5535</v>
      </c>
      <c r="E179" s="67" t="n">
        <f aca="false">SUMPRODUCT((Contract_Register!$T$7:$T$43=Assumptions!E$201)*Contract_Register!$X$7:$X$43*(Contract_Register!$C$7:$C$43="PT"))</f>
        <v>0</v>
      </c>
      <c r="F179" s="67" t="n">
        <f aca="false">SUMPRODUCT((Contract_Register!$T$7:$T$43=Assumptions!F$201)*Contract_Register!$X$7:$X$43*(Contract_Register!$C$7:$C$43="PT"))</f>
        <v>0</v>
      </c>
      <c r="G179" s="67" t="n">
        <f aca="false">SUMPRODUCT((Contract_Register!$T$7:$T$43=Assumptions!G$201)*Contract_Register!$X$7:$X$43*(Contract_Register!$C$7:$C$43="PT"))</f>
        <v>3600</v>
      </c>
      <c r="H179" s="67" t="n">
        <f aca="false">SUMPRODUCT((Contract_Register!$T$7:$T$43=Assumptions!H$201)*Contract_Register!$X$7:$X$43*(Contract_Register!$C$7:$C$43="PT"))</f>
        <v>0</v>
      </c>
      <c r="I179" s="67" t="n">
        <f aca="false">SUMPRODUCT((Contract_Register!$T$7:$T$43=Assumptions!I$201)*Contract_Register!$X$7:$X$43*(Contract_Register!$C$7:$C$43="PT"))</f>
        <v>2970</v>
      </c>
      <c r="J179" s="67" t="n">
        <f aca="false">SUMPRODUCT((Contract_Register!$T$7:$T$43=Assumptions!J$201)*Contract_Register!$X$7:$X$43*(Contract_Register!$C$7:$C$43="PT"))</f>
        <v>0</v>
      </c>
      <c r="K179" s="67" t="n">
        <f aca="false">SUMPRODUCT((Contract_Register!$T$7:$T$43=Assumptions!K$201)*Contract_Register!$X$7:$X$43*(Contract_Register!$C$7:$C$43="PT"))</f>
        <v>4860</v>
      </c>
      <c r="L179" s="67" t="n">
        <f aca="false">SUMPRODUCT((Contract_Register!$T$7:$T$43=Assumptions!L$201)*Contract_Register!$X$7:$X$43*(Contract_Register!$C$7:$C$43="PT"))</f>
        <v>0</v>
      </c>
      <c r="M179" s="67" t="n">
        <f aca="false">SUMPRODUCT((Contract_Register!$T$7:$T$43=Assumptions!M$201)*Contract_Register!$X$7:$X$43*(Contract_Register!$C$7:$C$43="PT"))</f>
        <v>0</v>
      </c>
      <c r="N179" s="67" t="n">
        <f aca="false">SUMPRODUCT((Contract_Register!$T$7:$T$43=Assumptions!N$201)*Contract_Register!$X$7:$X$43*(Contract_Register!$C$7:$C$43="PT"))</f>
        <v>0</v>
      </c>
      <c r="O179" s="67" t="n">
        <f aca="false">SUMPRODUCT((Contract_Register!$T$7:$T$43=Assumptions!O$201)*Contract_Register!$X$7:$X$43*(Contract_Register!$C$7:$C$43="PT"))</f>
        <v>11880</v>
      </c>
      <c r="P179" s="67" t="n">
        <f aca="false">SUMPRODUCT((Contract_Register!$T$7:$T$43=Assumptions!P$201)*Contract_Register!$X$7:$X$43*(Contract_Register!$C$7:$C$43="PT"))</f>
        <v>0</v>
      </c>
      <c r="Q179" s="67" t="n">
        <f aca="false">SUMPRODUCT((Contract_Register!$T$7:$T$43=Assumptions!Q$201)*Contract_Register!$X$7:$X$43*(Contract_Register!$C$7:$C$43="PT"))</f>
        <v>2700</v>
      </c>
      <c r="R179" s="67" t="n">
        <f aca="false">SUMPRODUCT((Contract_Register!$T$7:$T$43=Assumptions!R$201)*Contract_Register!$X$7:$X$43*(Contract_Register!$C$7:$C$43="PT"))</f>
        <v>2835</v>
      </c>
      <c r="S179" s="67" t="n">
        <f aca="false">SUMPRODUCT((Contract_Register!$T$7:$T$43=Assumptions!S$201)*Contract_Register!$X$7:$X$43*(Contract_Register!$C$7:$C$43="PT"))</f>
        <v>0</v>
      </c>
      <c r="T179" s="67" t="n">
        <f aca="false">SUMPRODUCT((Contract_Register!$T$7:$T$43=Assumptions!T$201)*Contract_Register!$X$7:$X$43*(Contract_Register!$C$7:$C$43="PT"))</f>
        <v>0</v>
      </c>
      <c r="U179" s="67" t="n">
        <f aca="false">SUMPRODUCT((Contract_Register!$T$7:$T$43=Assumptions!U$201)*Contract_Register!$X$7:$X$43*(Contract_Register!$C$7:$C$43="PT"))</f>
        <v>0</v>
      </c>
      <c r="V179" s="67" t="n">
        <f aca="false">SUMPRODUCT((Contract_Register!$T$7:$T$43=Assumptions!V$201)*Contract_Register!$X$7:$X$43*(Contract_Register!$C$7:$C$43="PT"))</f>
        <v>0</v>
      </c>
      <c r="W179" s="67" t="n">
        <f aca="false">SUMPRODUCT((Contract_Register!$T$7:$T$43=Assumptions!W$201)*Contract_Register!$X$7:$X$43*(Contract_Register!$C$7:$C$43="PT"))</f>
        <v>0</v>
      </c>
      <c r="X179" s="67" t="n">
        <f aca="false">SUMPRODUCT((Contract_Register!$T$7:$T$43=Assumptions!X$201)*Contract_Register!$X$7:$X$43*(Contract_Register!$C$7:$C$43="PT"))</f>
        <v>0</v>
      </c>
      <c r="Y179" s="67" t="n">
        <f aca="false">SUMPRODUCT((Contract_Register!$T$7:$T$43=Assumptions!Y$201)*Contract_Register!$X$7:$X$43*(Contract_Register!$C$7:$C$43="PT"))</f>
        <v>0</v>
      </c>
      <c r="Z179" s="67" t="n">
        <f aca="false">SUMPRODUCT((Contract_Register!$T$7:$T$43=Assumptions!Z$201)*Contract_Register!$X$7:$X$43*(Contract_Register!$C$7:$C$43="PT"))</f>
        <v>0</v>
      </c>
      <c r="AA179" s="67" t="n">
        <f aca="false">SUMPRODUCT((Contract_Register!$T$7:$T$43=Assumptions!AA$201)*Contract_Register!$X$7:$X$43*(Contract_Register!$C$7:$C$43="PT"))</f>
        <v>0</v>
      </c>
      <c r="AB179" s="67" t="n">
        <f aca="false">SUMPRODUCT((Contract_Register!$T$7:$T$43=Assumptions!AB$201)*Contract_Register!$X$7:$X$43*(Contract_Register!$C$7:$C$43="PT"))</f>
        <v>0</v>
      </c>
    </row>
    <row r="180" customFormat="false" ht="15" hidden="false" customHeight="false" outlineLevel="0" collapsed="false">
      <c r="A180" s="27" t="s">
        <v>584</v>
      </c>
      <c r="B180" s="63" t="s">
        <v>879</v>
      </c>
      <c r="C180" s="66" t="n">
        <f aca="false">SUM(E180:P180)</f>
        <v>6655</v>
      </c>
      <c r="D180" s="66" t="n">
        <f aca="false">SUM(Q180:AB180)</f>
        <v>13511.25</v>
      </c>
      <c r="E180" s="67" t="n">
        <f aca="false">SUMPRODUCT((Contract_Register!$T$7:$T$43&lt;=Assumptions!E$201)*(Assumptions!E$201&lt;=Contract_Register!$T$7:$T$43+Assumptions!$C$90-1)*Contract_Register!$X$7:$X$43)/Assumptions!$C$90</f>
        <v>293.75</v>
      </c>
      <c r="F180" s="67" t="n">
        <f aca="false">SUMPRODUCT((Contract_Register!$T$7:$T$43&lt;=Assumptions!F$201)*(Assumptions!F$201&lt;=Contract_Register!$T$7:$T$43+Assumptions!$C$90-1)*Contract_Register!$X$7:$X$43)/Assumptions!$C$90</f>
        <v>293.75</v>
      </c>
      <c r="G180" s="67" t="n">
        <f aca="false">SUMPRODUCT((Contract_Register!$T$7:$T$43&lt;=Assumptions!G$201)*(Assumptions!G$201&lt;=Contract_Register!$T$7:$T$43+Assumptions!$C$90-1)*Contract_Register!$X$7:$X$43)/Assumptions!$C$90</f>
        <v>393.75</v>
      </c>
      <c r="H180" s="67" t="n">
        <f aca="false">SUMPRODUCT((Contract_Register!$T$7:$T$43&lt;=Assumptions!H$201)*(Assumptions!H$201&lt;=Contract_Register!$T$7:$T$43+Assumptions!$C$90-1)*Contract_Register!$X$7:$X$43)/Assumptions!$C$90</f>
        <v>393.75</v>
      </c>
      <c r="I180" s="67" t="n">
        <f aca="false">SUMPRODUCT((Contract_Register!$T$7:$T$43&lt;=Assumptions!I$201)*(Assumptions!I$201&lt;=Contract_Register!$T$7:$T$43+Assumptions!$C$90-1)*Contract_Register!$X$7:$X$43)/Assumptions!$C$90</f>
        <v>476.25</v>
      </c>
      <c r="J180" s="67" t="n">
        <f aca="false">SUMPRODUCT((Contract_Register!$T$7:$T$43&lt;=Assumptions!J$201)*(Assumptions!J$201&lt;=Contract_Register!$T$7:$T$43+Assumptions!$C$90-1)*Contract_Register!$X$7:$X$43)/Assumptions!$C$90</f>
        <v>476.25</v>
      </c>
      <c r="K180" s="67" t="n">
        <f aca="false">SUMPRODUCT((Contract_Register!$T$7:$T$43&lt;=Assumptions!K$201)*(Assumptions!K$201&lt;=Contract_Register!$T$7:$T$43+Assumptions!$C$90-1)*Contract_Register!$X$7:$X$43)/Assumptions!$C$90</f>
        <v>611.25</v>
      </c>
      <c r="L180" s="67" t="n">
        <f aca="false">SUMPRODUCT((Contract_Register!$T$7:$T$43&lt;=Assumptions!L$201)*(Assumptions!L$201&lt;=Contract_Register!$T$7:$T$43+Assumptions!$C$90-1)*Contract_Register!$X$7:$X$43)/Assumptions!$C$90</f>
        <v>611.25</v>
      </c>
      <c r="M180" s="67" t="n">
        <f aca="false">SUMPRODUCT((Contract_Register!$T$7:$T$43&lt;=Assumptions!M$201)*(Assumptions!M$201&lt;=Contract_Register!$T$7:$T$43+Assumptions!$C$90-1)*Contract_Register!$X$7:$X$43)/Assumptions!$C$90</f>
        <v>611.25</v>
      </c>
      <c r="N180" s="67" t="n">
        <f aca="false">SUMPRODUCT((Contract_Register!$T$7:$T$43&lt;=Assumptions!N$201)*(Assumptions!N$201&lt;=Contract_Register!$T$7:$T$43+Assumptions!$C$90-1)*Contract_Register!$X$7:$X$43)/Assumptions!$C$90</f>
        <v>611.25</v>
      </c>
      <c r="O180" s="67" t="n">
        <f aca="false">SUMPRODUCT((Contract_Register!$T$7:$T$43&lt;=Assumptions!O$201)*(Assumptions!O$201&lt;=Contract_Register!$T$7:$T$43+Assumptions!$C$90-1)*Contract_Register!$X$7:$X$43)/Assumptions!$C$90</f>
        <v>941.25</v>
      </c>
      <c r="P180" s="67" t="n">
        <f aca="false">SUMPRODUCT((Contract_Register!$T$7:$T$43&lt;=Assumptions!P$201)*(Assumptions!P$201&lt;=Contract_Register!$T$7:$T$43+Assumptions!$C$90-1)*Contract_Register!$X$7:$X$43)/Assumptions!$C$90</f>
        <v>941.25</v>
      </c>
      <c r="Q180" s="67" t="n">
        <f aca="false">SUMPRODUCT((Contract_Register!$T$7:$T$43&lt;=Assumptions!Q$201)*(Assumptions!Q$201&lt;=Contract_Register!$T$7:$T$43+Assumptions!$C$90-1)*Contract_Register!$X$7:$X$43)/Assumptions!$C$90</f>
        <v>1016.25</v>
      </c>
      <c r="R180" s="67" t="n">
        <f aca="false">SUMPRODUCT((Contract_Register!$T$7:$T$43&lt;=Assumptions!R$201)*(Assumptions!R$201&lt;=Contract_Register!$T$7:$T$43+Assumptions!$C$90-1)*Contract_Register!$X$7:$X$43)/Assumptions!$C$90</f>
        <v>1095</v>
      </c>
      <c r="S180" s="67" t="n">
        <f aca="false">SUMPRODUCT((Contract_Register!$T$7:$T$43&lt;=Assumptions!S$201)*(Assumptions!S$201&lt;=Contract_Register!$T$7:$T$43+Assumptions!$C$90-1)*Contract_Register!$X$7:$X$43)/Assumptions!$C$90</f>
        <v>1095</v>
      </c>
      <c r="T180" s="67" t="n">
        <f aca="false">SUMPRODUCT((Contract_Register!$T$7:$T$43&lt;=Assumptions!T$201)*(Assumptions!T$201&lt;=Contract_Register!$T$7:$T$43+Assumptions!$C$90-1)*Contract_Register!$X$7:$X$43)/Assumptions!$C$90</f>
        <v>1145</v>
      </c>
      <c r="U180" s="67" t="n">
        <f aca="false">SUMPRODUCT((Contract_Register!$T$7:$T$43&lt;=Assumptions!U$201)*(Assumptions!U$201&lt;=Contract_Register!$T$7:$T$43+Assumptions!$C$90-1)*Contract_Register!$X$7:$X$43)/Assumptions!$C$90</f>
        <v>1145</v>
      </c>
      <c r="V180" s="67" t="n">
        <f aca="false">SUMPRODUCT((Contract_Register!$T$7:$T$43&lt;=Assumptions!V$201)*(Assumptions!V$201&lt;=Contract_Register!$T$7:$T$43+Assumptions!$C$90-1)*Contract_Register!$X$7:$X$43)/Assumptions!$C$90</f>
        <v>1145</v>
      </c>
      <c r="W180" s="67" t="n">
        <f aca="false">SUMPRODUCT((Contract_Register!$T$7:$T$43&lt;=Assumptions!W$201)*(Assumptions!W$201&lt;=Contract_Register!$T$7:$T$43+Assumptions!$C$90-1)*Contract_Register!$X$7:$X$43)/Assumptions!$C$90</f>
        <v>1145</v>
      </c>
      <c r="X180" s="67" t="n">
        <f aca="false">SUMPRODUCT((Contract_Register!$T$7:$T$43&lt;=Assumptions!X$201)*(Assumptions!X$201&lt;=Contract_Register!$T$7:$T$43+Assumptions!$C$90-1)*Contract_Register!$X$7:$X$43)/Assumptions!$C$90</f>
        <v>1145</v>
      </c>
      <c r="Y180" s="67" t="n">
        <f aca="false">SUMPRODUCT((Contract_Register!$T$7:$T$43&lt;=Assumptions!Y$201)*(Assumptions!Y$201&lt;=Contract_Register!$T$7:$T$43+Assumptions!$C$90-1)*Contract_Register!$X$7:$X$43)/Assumptions!$C$90</f>
        <v>1145</v>
      </c>
      <c r="Z180" s="67" t="n">
        <f aca="false">SUMPRODUCT((Contract_Register!$T$7:$T$43&lt;=Assumptions!Z$201)*(Assumptions!Z$201&lt;=Contract_Register!$T$7:$T$43+Assumptions!$C$90-1)*Contract_Register!$X$7:$X$43)/Assumptions!$C$90</f>
        <v>1145</v>
      </c>
      <c r="AA180" s="67" t="n">
        <f aca="false">SUMPRODUCT((Contract_Register!$T$7:$T$43&lt;=Assumptions!AA$201)*(Assumptions!AA$201&lt;=Contract_Register!$T$7:$T$43+Assumptions!$C$90-1)*Contract_Register!$X$7:$X$43)/Assumptions!$C$90</f>
        <v>1145</v>
      </c>
      <c r="AB180" s="67" t="n">
        <f aca="false">SUMPRODUCT((Contract_Register!$T$7:$T$43&lt;=Assumptions!AB$201)*(Assumptions!AB$201&lt;=Contract_Register!$T$7:$T$43+Assumptions!$C$90-1)*Contract_Register!$X$7:$X$43)/Assumptions!$C$90</f>
        <v>1145</v>
      </c>
    </row>
    <row r="181" customFormat="false" ht="15" hidden="false" customHeight="false" outlineLevel="0" collapsed="false">
      <c r="A181" s="59" t="s">
        <v>880</v>
      </c>
      <c r="B181" s="60" t="s">
        <v>881</v>
      </c>
      <c r="C181" s="61" t="n">
        <f aca="false">P181</f>
        <v>24711.25</v>
      </c>
      <c r="D181" s="61" t="n">
        <f aca="false">AB181</f>
        <v>18535</v>
      </c>
      <c r="E181" s="62" t="n">
        <f aca="false">Inputs_Actuals!$C$299+E178-E180</f>
        <v>7762.5</v>
      </c>
      <c r="F181" s="61" t="n">
        <f aca="false">E181+F178-F180</f>
        <v>7468.75</v>
      </c>
      <c r="G181" s="61" t="n">
        <f aca="false">F181+G178-G180</f>
        <v>10675</v>
      </c>
      <c r="H181" s="61" t="n">
        <f aca="false">G181+H178-H180</f>
        <v>10281.25</v>
      </c>
      <c r="I181" s="61" t="n">
        <f aca="false">H181+I178-I180</f>
        <v>12775</v>
      </c>
      <c r="J181" s="61" t="n">
        <f aca="false">I181+J178-J180</f>
        <v>12298.75</v>
      </c>
      <c r="K181" s="61" t="n">
        <f aca="false">J181+K178-K180</f>
        <v>16547.5</v>
      </c>
      <c r="L181" s="61" t="n">
        <f aca="false">K181+L178-L180</f>
        <v>15936.25</v>
      </c>
      <c r="M181" s="61" t="n">
        <f aca="false">L181+M178-M180</f>
        <v>15325</v>
      </c>
      <c r="N181" s="61" t="n">
        <f aca="false">M181+N178-N180</f>
        <v>14713.75</v>
      </c>
      <c r="O181" s="61" t="n">
        <f aca="false">N181+O178-O180</f>
        <v>25652.5</v>
      </c>
      <c r="P181" s="61" t="n">
        <f aca="false">O181+P178-P180</f>
        <v>24711.25</v>
      </c>
      <c r="Q181" s="61" t="n">
        <f aca="false">P181+Q178-Q180</f>
        <v>26395</v>
      </c>
      <c r="R181" s="61" t="n">
        <f aca="false">Q181+R178-R180</f>
        <v>28135</v>
      </c>
      <c r="S181" s="61" t="n">
        <f aca="false">R181+S178-S180</f>
        <v>27040</v>
      </c>
      <c r="T181" s="61" t="n">
        <f aca="false">S181+T178-T180</f>
        <v>27695</v>
      </c>
      <c r="U181" s="61" t="n">
        <f aca="false">T181+U178-U180</f>
        <v>26550</v>
      </c>
      <c r="V181" s="61" t="n">
        <f aca="false">U181+V178-V180</f>
        <v>25405</v>
      </c>
      <c r="W181" s="61" t="n">
        <f aca="false">V181+W178-W180</f>
        <v>24260</v>
      </c>
      <c r="X181" s="61" t="n">
        <f aca="false">W181+X178-X180</f>
        <v>23115</v>
      </c>
      <c r="Y181" s="61" t="n">
        <f aca="false">X181+Y178-Y180</f>
        <v>21970</v>
      </c>
      <c r="Z181" s="61" t="n">
        <f aca="false">Y181+Z178-Z180</f>
        <v>20825</v>
      </c>
      <c r="AA181" s="61" t="n">
        <f aca="false">Z181+AA178-AA180</f>
        <v>19680</v>
      </c>
      <c r="AB181" s="61" t="n">
        <f aca="false">AA181+AB178-AB180</f>
        <v>18535</v>
      </c>
    </row>
    <row r="182" customFormat="false" ht="15" hidden="false" customHeight="false" outlineLevel="0" collapsed="false">
      <c r="A182" s="27" t="s">
        <v>882</v>
      </c>
      <c r="B182" s="63" t="s">
        <v>883</v>
      </c>
      <c r="C182" s="66" t="n">
        <f aca="false">P182</f>
        <v>24711.25</v>
      </c>
      <c r="D182" s="66" t="n">
        <f aca="false">AB182</f>
        <v>18535</v>
      </c>
      <c r="E182" s="67" t="n">
        <f aca="false">SUMPRODUCT((Contract_Register!$T$7:$T$43&lt;=Assumptions!E$201)*(Assumptions!E$201&lt;=Contract_Register!$T$7:$T$43+Assumptions!$C$90-1)*Contract_Register!$X$7:$X$43*(Contract_Register!$T$7:$T$43+Assumptions!$C$90-1-Assumptions!E$201))/Assumptions!$C$90</f>
        <v>7762.5</v>
      </c>
      <c r="F182" s="67" t="n">
        <f aca="false">SUMPRODUCT((Contract_Register!$T$7:$T$43&lt;=Assumptions!F$201)*(Assumptions!F$201&lt;=Contract_Register!$T$7:$T$43+Assumptions!$C$90-1)*Contract_Register!$X$7:$X$43*(Contract_Register!$T$7:$T$43+Assumptions!$C$90-1-Assumptions!F$201))/Assumptions!$C$90</f>
        <v>7468.75</v>
      </c>
      <c r="G182" s="67" t="n">
        <f aca="false">SUMPRODUCT((Contract_Register!$T$7:$T$43&lt;=Assumptions!G$201)*(Assumptions!G$201&lt;=Contract_Register!$T$7:$T$43+Assumptions!$C$90-1)*Contract_Register!$X$7:$X$43*(Contract_Register!$T$7:$T$43+Assumptions!$C$90-1-Assumptions!G$201))/Assumptions!$C$90</f>
        <v>10675</v>
      </c>
      <c r="H182" s="67" t="n">
        <f aca="false">SUMPRODUCT((Contract_Register!$T$7:$T$43&lt;=Assumptions!H$201)*(Assumptions!H$201&lt;=Contract_Register!$T$7:$T$43+Assumptions!$C$90-1)*Contract_Register!$X$7:$X$43*(Contract_Register!$T$7:$T$43+Assumptions!$C$90-1-Assumptions!H$201))/Assumptions!$C$90</f>
        <v>10281.25</v>
      </c>
      <c r="I182" s="67" t="n">
        <f aca="false">SUMPRODUCT((Contract_Register!$T$7:$T$43&lt;=Assumptions!I$201)*(Assumptions!I$201&lt;=Contract_Register!$T$7:$T$43+Assumptions!$C$90-1)*Contract_Register!$X$7:$X$43*(Contract_Register!$T$7:$T$43+Assumptions!$C$90-1-Assumptions!I$201))/Assumptions!$C$90</f>
        <v>12775</v>
      </c>
      <c r="J182" s="67" t="n">
        <f aca="false">SUMPRODUCT((Contract_Register!$T$7:$T$43&lt;=Assumptions!J$201)*(Assumptions!J$201&lt;=Contract_Register!$T$7:$T$43+Assumptions!$C$90-1)*Contract_Register!$X$7:$X$43*(Contract_Register!$T$7:$T$43+Assumptions!$C$90-1-Assumptions!J$201))/Assumptions!$C$90</f>
        <v>12298.75</v>
      </c>
      <c r="K182" s="67" t="n">
        <f aca="false">SUMPRODUCT((Contract_Register!$T$7:$T$43&lt;=Assumptions!K$201)*(Assumptions!K$201&lt;=Contract_Register!$T$7:$T$43+Assumptions!$C$90-1)*Contract_Register!$X$7:$X$43*(Contract_Register!$T$7:$T$43+Assumptions!$C$90-1-Assumptions!K$201))/Assumptions!$C$90</f>
        <v>16547.5</v>
      </c>
      <c r="L182" s="67" t="n">
        <f aca="false">SUMPRODUCT((Contract_Register!$T$7:$T$43&lt;=Assumptions!L$201)*(Assumptions!L$201&lt;=Contract_Register!$T$7:$T$43+Assumptions!$C$90-1)*Contract_Register!$X$7:$X$43*(Contract_Register!$T$7:$T$43+Assumptions!$C$90-1-Assumptions!L$201))/Assumptions!$C$90</f>
        <v>15936.25</v>
      </c>
      <c r="M182" s="67" t="n">
        <f aca="false">SUMPRODUCT((Contract_Register!$T$7:$T$43&lt;=Assumptions!M$201)*(Assumptions!M$201&lt;=Contract_Register!$T$7:$T$43+Assumptions!$C$90-1)*Contract_Register!$X$7:$X$43*(Contract_Register!$T$7:$T$43+Assumptions!$C$90-1-Assumptions!M$201))/Assumptions!$C$90</f>
        <v>15325</v>
      </c>
      <c r="N182" s="67" t="n">
        <f aca="false">SUMPRODUCT((Contract_Register!$T$7:$T$43&lt;=Assumptions!N$201)*(Assumptions!N$201&lt;=Contract_Register!$T$7:$T$43+Assumptions!$C$90-1)*Contract_Register!$X$7:$X$43*(Contract_Register!$T$7:$T$43+Assumptions!$C$90-1-Assumptions!N$201))/Assumptions!$C$90</f>
        <v>14713.75</v>
      </c>
      <c r="O182" s="67" t="n">
        <f aca="false">SUMPRODUCT((Contract_Register!$T$7:$T$43&lt;=Assumptions!O$201)*(Assumptions!O$201&lt;=Contract_Register!$T$7:$T$43+Assumptions!$C$90-1)*Contract_Register!$X$7:$X$43*(Contract_Register!$T$7:$T$43+Assumptions!$C$90-1-Assumptions!O$201))/Assumptions!$C$90</f>
        <v>25652.5</v>
      </c>
      <c r="P182" s="67" t="n">
        <f aca="false">SUMPRODUCT((Contract_Register!$T$7:$T$43&lt;=Assumptions!P$201)*(Assumptions!P$201&lt;=Contract_Register!$T$7:$T$43+Assumptions!$C$90-1)*Contract_Register!$X$7:$X$43*(Contract_Register!$T$7:$T$43+Assumptions!$C$90-1-Assumptions!P$201))/Assumptions!$C$90</f>
        <v>24711.25</v>
      </c>
      <c r="Q182" s="67" t="n">
        <f aca="false">SUMPRODUCT((Contract_Register!$T$7:$T$43&lt;=Assumptions!Q$201)*(Assumptions!Q$201&lt;=Contract_Register!$T$7:$T$43+Assumptions!$C$90-1)*Contract_Register!$X$7:$X$43*(Contract_Register!$T$7:$T$43+Assumptions!$C$90-1-Assumptions!Q$201))/Assumptions!$C$90</f>
        <v>26395</v>
      </c>
      <c r="R182" s="67" t="n">
        <f aca="false">SUMPRODUCT((Contract_Register!$T$7:$T$43&lt;=Assumptions!R$201)*(Assumptions!R$201&lt;=Contract_Register!$T$7:$T$43+Assumptions!$C$90-1)*Contract_Register!$X$7:$X$43*(Contract_Register!$T$7:$T$43+Assumptions!$C$90-1-Assumptions!R$201))/Assumptions!$C$90</f>
        <v>28135</v>
      </c>
      <c r="S182" s="67" t="n">
        <f aca="false">SUMPRODUCT((Contract_Register!$T$7:$T$43&lt;=Assumptions!S$201)*(Assumptions!S$201&lt;=Contract_Register!$T$7:$T$43+Assumptions!$C$90-1)*Contract_Register!$X$7:$X$43*(Contract_Register!$T$7:$T$43+Assumptions!$C$90-1-Assumptions!S$201))/Assumptions!$C$90</f>
        <v>27040</v>
      </c>
      <c r="T182" s="67" t="n">
        <f aca="false">SUMPRODUCT((Contract_Register!$T$7:$T$43&lt;=Assumptions!T$201)*(Assumptions!T$201&lt;=Contract_Register!$T$7:$T$43+Assumptions!$C$90-1)*Contract_Register!$X$7:$X$43*(Contract_Register!$T$7:$T$43+Assumptions!$C$90-1-Assumptions!T$201))/Assumptions!$C$90</f>
        <v>27695</v>
      </c>
      <c r="U182" s="67" t="n">
        <f aca="false">SUMPRODUCT((Contract_Register!$T$7:$T$43&lt;=Assumptions!U$201)*(Assumptions!U$201&lt;=Contract_Register!$T$7:$T$43+Assumptions!$C$90-1)*Contract_Register!$X$7:$X$43*(Contract_Register!$T$7:$T$43+Assumptions!$C$90-1-Assumptions!U$201))/Assumptions!$C$90</f>
        <v>26550</v>
      </c>
      <c r="V182" s="67" t="n">
        <f aca="false">SUMPRODUCT((Contract_Register!$T$7:$T$43&lt;=Assumptions!V$201)*(Assumptions!V$201&lt;=Contract_Register!$T$7:$T$43+Assumptions!$C$90-1)*Contract_Register!$X$7:$X$43*(Contract_Register!$T$7:$T$43+Assumptions!$C$90-1-Assumptions!V$201))/Assumptions!$C$90</f>
        <v>25405</v>
      </c>
      <c r="W182" s="67" t="n">
        <f aca="false">SUMPRODUCT((Contract_Register!$T$7:$T$43&lt;=Assumptions!W$201)*(Assumptions!W$201&lt;=Contract_Register!$T$7:$T$43+Assumptions!$C$90-1)*Contract_Register!$X$7:$X$43*(Contract_Register!$T$7:$T$43+Assumptions!$C$90-1-Assumptions!W$201))/Assumptions!$C$90</f>
        <v>24260</v>
      </c>
      <c r="X182" s="67" t="n">
        <f aca="false">SUMPRODUCT((Contract_Register!$T$7:$T$43&lt;=Assumptions!X$201)*(Assumptions!X$201&lt;=Contract_Register!$T$7:$T$43+Assumptions!$C$90-1)*Contract_Register!$X$7:$X$43*(Contract_Register!$T$7:$T$43+Assumptions!$C$90-1-Assumptions!X$201))/Assumptions!$C$90</f>
        <v>23115</v>
      </c>
      <c r="Y182" s="67" t="n">
        <f aca="false">SUMPRODUCT((Contract_Register!$T$7:$T$43&lt;=Assumptions!Y$201)*(Assumptions!Y$201&lt;=Contract_Register!$T$7:$T$43+Assumptions!$C$90-1)*Contract_Register!$X$7:$X$43*(Contract_Register!$T$7:$T$43+Assumptions!$C$90-1-Assumptions!Y$201))/Assumptions!$C$90</f>
        <v>21970</v>
      </c>
      <c r="Z182" s="67" t="n">
        <f aca="false">SUMPRODUCT((Contract_Register!$T$7:$T$43&lt;=Assumptions!Z$201)*(Assumptions!Z$201&lt;=Contract_Register!$T$7:$T$43+Assumptions!$C$90-1)*Contract_Register!$X$7:$X$43*(Contract_Register!$T$7:$T$43+Assumptions!$C$90-1-Assumptions!Z$201))/Assumptions!$C$90</f>
        <v>20825</v>
      </c>
      <c r="AA182" s="67" t="n">
        <f aca="false">SUMPRODUCT((Contract_Register!$T$7:$T$43&lt;=Assumptions!AA$201)*(Assumptions!AA$201&lt;=Contract_Register!$T$7:$T$43+Assumptions!$C$90-1)*Contract_Register!$X$7:$X$43*(Contract_Register!$T$7:$T$43+Assumptions!$C$90-1-Assumptions!AA$201))/Assumptions!$C$90</f>
        <v>19680</v>
      </c>
      <c r="AB182" s="67" t="n">
        <f aca="false">SUMPRODUCT((Contract_Register!$T$7:$T$43&lt;=Assumptions!AB$201)*(Assumptions!AB$201&lt;=Contract_Register!$T$7:$T$43+Assumptions!$C$90-1)*Contract_Register!$X$7:$X$43*(Contract_Register!$T$7:$T$43+Assumptions!$C$90-1-Assumptions!AB$201))/Assumptions!$C$90</f>
        <v>18535</v>
      </c>
    </row>
    <row r="183" customFormat="false" ht="15" hidden="false" customHeight="false" outlineLevel="0" collapsed="false">
      <c r="A183" s="27" t="s">
        <v>884</v>
      </c>
      <c r="B183" s="63"/>
      <c r="C183" s="66" t="n">
        <f aca="false">SUM(E183:P183)</f>
        <v>0</v>
      </c>
      <c r="D183" s="66" t="n">
        <f aca="false">SUM(Q183:AB183)</f>
        <v>0</v>
      </c>
      <c r="E183" s="76" t="n">
        <f aca="false">ROUND(E181-E182,0)</f>
        <v>0</v>
      </c>
      <c r="F183" s="76" t="n">
        <f aca="false">ROUND(F181-F182,0)</f>
        <v>0</v>
      </c>
      <c r="G183" s="76" t="n">
        <f aca="false">ROUND(G181-G182,0)</f>
        <v>0</v>
      </c>
      <c r="H183" s="76" t="n">
        <f aca="false">ROUND(H181-H182,0)</f>
        <v>0</v>
      </c>
      <c r="I183" s="76" t="n">
        <f aca="false">ROUND(I181-I182,0)</f>
        <v>0</v>
      </c>
      <c r="J183" s="76" t="n">
        <f aca="false">ROUND(J181-J182,0)</f>
        <v>0</v>
      </c>
      <c r="K183" s="76" t="n">
        <f aca="false">ROUND(K181-K182,0)</f>
        <v>0</v>
      </c>
      <c r="L183" s="76" t="n">
        <f aca="false">ROUND(L181-L182,0)</f>
        <v>0</v>
      </c>
      <c r="M183" s="76" t="n">
        <f aca="false">ROUND(M181-M182,0)</f>
        <v>0</v>
      </c>
      <c r="N183" s="76" t="n">
        <f aca="false">ROUND(N181-N182,0)</f>
        <v>0</v>
      </c>
      <c r="O183" s="76" t="n">
        <f aca="false">ROUND(O181-O182,0)</f>
        <v>0</v>
      </c>
      <c r="P183" s="76" t="n">
        <f aca="false">ROUND(P181-P182,0)</f>
        <v>0</v>
      </c>
      <c r="Q183" s="76" t="n">
        <f aca="false">ROUND(Q181-Q182,0)</f>
        <v>0</v>
      </c>
      <c r="R183" s="76" t="n">
        <f aca="false">ROUND(R181-R182,0)</f>
        <v>0</v>
      </c>
      <c r="S183" s="76" t="n">
        <f aca="false">ROUND(S181-S182,0)</f>
        <v>0</v>
      </c>
      <c r="T183" s="76" t="n">
        <f aca="false">ROUND(T181-T182,0)</f>
        <v>0</v>
      </c>
      <c r="U183" s="76" t="n">
        <f aca="false">ROUND(U181-U182,0)</f>
        <v>0</v>
      </c>
      <c r="V183" s="76" t="n">
        <f aca="false">ROUND(V181-V182,0)</f>
        <v>0</v>
      </c>
      <c r="W183" s="76" t="n">
        <f aca="false">ROUND(W181-W182,0)</f>
        <v>0</v>
      </c>
      <c r="X183" s="76" t="n">
        <f aca="false">ROUND(X181-X182,0)</f>
        <v>0</v>
      </c>
      <c r="Y183" s="76" t="n">
        <f aca="false">ROUND(Y181-Y182,0)</f>
        <v>0</v>
      </c>
      <c r="Z183" s="76" t="n">
        <f aca="false">ROUND(Z181-Z182,0)</f>
        <v>0</v>
      </c>
      <c r="AA183" s="76" t="n">
        <f aca="false">ROUND(AA181-AA182,0)</f>
        <v>0</v>
      </c>
      <c r="AB183" s="76" t="n">
        <f aca="false">ROUND(AB181-AB182,0)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885</v>
      </c>
    </row>
    <row r="3" customFormat="false" ht="15" hidden="false" customHeight="false" outlineLevel="0" collapsed="false">
      <c r="A3" s="50" t="s">
        <v>886</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887</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358</v>
      </c>
      <c r="B9" s="63" t="s">
        <v>46</v>
      </c>
      <c r="C9" s="66" t="n">
        <f aca="false">P9</f>
        <v>4207.06332065432</v>
      </c>
      <c r="D9" s="66" t="n">
        <f aca="false">AB9</f>
        <v>4375.74630394976</v>
      </c>
      <c r="E9" s="67" t="n">
        <f aca="false">Contracts!E161</f>
        <v>3781</v>
      </c>
      <c r="F9" s="67" t="n">
        <f aca="false">Contracts!F161</f>
        <v>3794</v>
      </c>
      <c r="G9" s="67" t="n">
        <f aca="false">Contracts!G161</f>
        <v>3882</v>
      </c>
      <c r="H9" s="67" t="n">
        <f aca="false">Contracts!H161</f>
        <v>3893</v>
      </c>
      <c r="I9" s="67" t="n">
        <f aca="false">Contracts!I161</f>
        <v>3815</v>
      </c>
      <c r="J9" s="67" t="n">
        <f aca="false">Contracts!J161</f>
        <v>3824</v>
      </c>
      <c r="K9" s="67" t="n">
        <f aca="false">Contracts!K161</f>
        <v>3938</v>
      </c>
      <c r="L9" s="67" t="n">
        <f aca="false">Contracts!L161</f>
        <v>3951</v>
      </c>
      <c r="M9" s="67" t="n">
        <f aca="false">Contracts!M161</f>
        <v>3959.919</v>
      </c>
      <c r="N9" s="67" t="n">
        <f aca="false">Contracts!N161</f>
        <v>3943.6113718</v>
      </c>
      <c r="O9" s="67" t="n">
        <f aca="false">Contracts!O161</f>
        <v>4208.75945326203</v>
      </c>
      <c r="P9" s="67" t="n">
        <f aca="false">Contracts!P161</f>
        <v>4207.06332065432</v>
      </c>
      <c r="Q9" s="67" t="n">
        <f aca="false">Contracts!Q161</f>
        <v>4267.77780594857</v>
      </c>
      <c r="R9" s="67" t="n">
        <f aca="false">Contracts!R161</f>
        <v>4334.45885730272</v>
      </c>
      <c r="S9" s="67" t="n">
        <f aca="false">Contracts!S161</f>
        <v>4301.44723135883</v>
      </c>
      <c r="T9" s="67" t="n">
        <f aca="false">Contracts!T161</f>
        <v>4341.30398599657</v>
      </c>
      <c r="U9" s="67" t="n">
        <f aca="false">Contracts!U161</f>
        <v>4346.6109873825</v>
      </c>
      <c r="V9" s="67" t="n">
        <f aca="false">Contracts!V161</f>
        <v>4356.73884365182</v>
      </c>
      <c r="W9" s="67" t="n">
        <f aca="false">Contracts!W161</f>
        <v>4362.887022681</v>
      </c>
      <c r="X9" s="67" t="n">
        <f aca="false">Contracts!X161</f>
        <v>4344.3064783299</v>
      </c>
      <c r="Y9" s="67" t="n">
        <f aca="false">Contracts!Y161</f>
        <v>4354.43884768916</v>
      </c>
      <c r="Z9" s="67" t="n">
        <f aca="false">Contracts!Z161</f>
        <v>4361.46216968203</v>
      </c>
      <c r="AA9" s="67" t="n">
        <f aca="false">Contracts!AA161</f>
        <v>4365.5558198718</v>
      </c>
      <c r="AB9" s="67" t="n">
        <f aca="false">Contracts!AB161</f>
        <v>4375.74630394976</v>
      </c>
    </row>
    <row r="10" customFormat="false" ht="15" hidden="false" customHeight="false" outlineLevel="0" collapsed="false">
      <c r="A10" s="27" t="s">
        <v>359</v>
      </c>
      <c r="B10" s="63" t="s">
        <v>46</v>
      </c>
      <c r="C10" s="66" t="n">
        <f aca="false">P10</f>
        <v>1293.60257310652</v>
      </c>
      <c r="D10" s="66" t="n">
        <f aca="false">AB10</f>
        <v>1338.23741659559</v>
      </c>
      <c r="E10" s="67" t="n">
        <f aca="false">Contracts!E162</f>
        <v>1174</v>
      </c>
      <c r="F10" s="67" t="n">
        <f aca="false">Contracts!F162</f>
        <v>1174</v>
      </c>
      <c r="G10" s="67" t="n">
        <f aca="false">Contracts!G162</f>
        <v>1204</v>
      </c>
      <c r="H10" s="67" t="n">
        <f aca="false">Contracts!H162</f>
        <v>1206</v>
      </c>
      <c r="I10" s="67" t="n">
        <f aca="false">Contracts!I162</f>
        <v>1189</v>
      </c>
      <c r="J10" s="67" t="n">
        <f aca="false">Contracts!J162</f>
        <v>1190</v>
      </c>
      <c r="K10" s="67" t="n">
        <f aca="false">Contracts!K162</f>
        <v>1223</v>
      </c>
      <c r="L10" s="67" t="n">
        <f aca="false">Contracts!L162</f>
        <v>1225</v>
      </c>
      <c r="M10" s="67" t="n">
        <f aca="false">Contracts!M162</f>
        <v>1226.386</v>
      </c>
      <c r="N10" s="67" t="n">
        <f aca="false">Contracts!N162</f>
        <v>1220.5666587</v>
      </c>
      <c r="O10" s="67" t="n">
        <f aca="false">Contracts!O162</f>
        <v>1296.42899700104</v>
      </c>
      <c r="P10" s="67" t="n">
        <f aca="false">Contracts!P162</f>
        <v>1293.60257310652</v>
      </c>
      <c r="Q10" s="67" t="n">
        <f aca="false">Contracts!Q162</f>
        <v>1312.29064304965</v>
      </c>
      <c r="R10" s="67" t="n">
        <f aca="false">Contracts!R162</f>
        <v>1336.38236529777</v>
      </c>
      <c r="S10" s="67" t="n">
        <f aca="false">Contracts!S162</f>
        <v>1328.2698415327</v>
      </c>
      <c r="T10" s="67" t="n">
        <f aca="false">Contracts!T162</f>
        <v>1340.50074990366</v>
      </c>
      <c r="U10" s="67" t="n">
        <f aca="false">Contracts!U162</f>
        <v>1340.84456002557</v>
      </c>
      <c r="V10" s="67" t="n">
        <f aca="false">Contracts!V162</f>
        <v>1342.40496048197</v>
      </c>
      <c r="W10" s="67" t="n">
        <f aca="false">Contracts!W162</f>
        <v>1342.55200138231</v>
      </c>
      <c r="X10" s="67" t="n">
        <f aca="false">Contracts!X162</f>
        <v>1335.74957020166</v>
      </c>
      <c r="Y10" s="67" t="n">
        <f aca="false">Contracts!Y162</f>
        <v>1337.3043484904</v>
      </c>
      <c r="Z10" s="67" t="n">
        <f aca="false">Contracts!Z162</f>
        <v>1338.25278278162</v>
      </c>
      <c r="AA10" s="67" t="n">
        <f aca="false">Contracts!AA162</f>
        <v>1336.68159977673</v>
      </c>
      <c r="AB10" s="67" t="n">
        <f aca="false">Contracts!AB162</f>
        <v>1338.23741659559</v>
      </c>
    </row>
    <row r="11" customFormat="false" ht="15" hidden="false" customHeight="false" outlineLevel="0" collapsed="false">
      <c r="A11" s="27" t="s">
        <v>888</v>
      </c>
      <c r="B11" s="63" t="s">
        <v>889</v>
      </c>
      <c r="C11" s="66" t="n">
        <f aca="false">SUM(E11:P11)</f>
        <v>22274.7678385745</v>
      </c>
      <c r="D11" s="66" t="n">
        <f aca="false">SUM(Q11:AB11)</f>
        <v>24445.4479692859</v>
      </c>
      <c r="E11" s="67" t="n">
        <f aca="false">IF(E$5="A",Inputs_Actuals!E111,(E9*Assumptions!$C$97+E10*Assumptions!$C$98)*Assumptions!E$210)</f>
        <v>1903</v>
      </c>
      <c r="F11" s="67" t="n">
        <f aca="false">IF(F$5="A",Inputs_Actuals!F111,(F9*Assumptions!$C$97+F10*Assumptions!$C$98)*Assumptions!F$210)</f>
        <v>1831</v>
      </c>
      <c r="G11" s="67" t="n">
        <f aca="false">IF(G$5="A",Inputs_Actuals!G111,(G9*Assumptions!$C$97+G10*Assumptions!$C$98)*Assumptions!G$210)</f>
        <v>1874</v>
      </c>
      <c r="H11" s="67" t="n">
        <f aca="false">IF(H$5="A",Inputs_Actuals!H111,(H9*Assumptions!$C$97+H10*Assumptions!$C$98)*Assumptions!H$210)</f>
        <v>1844</v>
      </c>
      <c r="I11" s="67" t="n">
        <f aca="false">IF(I$5="A",Inputs_Actuals!I111,(I9*Assumptions!$C$97+I10*Assumptions!$C$98)*Assumptions!I$210)</f>
        <v>1788</v>
      </c>
      <c r="J11" s="67" t="n">
        <f aca="false">IF(J$5="A",Inputs_Actuals!J111,(J9*Assumptions!$C$97+J10*Assumptions!$C$98)*Assumptions!J$210)</f>
        <v>1748</v>
      </c>
      <c r="K11" s="67" t="n">
        <f aca="false">IF(K$5="A",Inputs_Actuals!K111,(K9*Assumptions!$C$97+K10*Assumptions!$C$98)*Assumptions!K$210)</f>
        <v>1792</v>
      </c>
      <c r="L11" s="67" t="n">
        <f aca="false">IF(L$5="A",Inputs_Actuals!L111,(L9*Assumptions!$C$97+L10*Assumptions!$C$98)*Assumptions!L$210)</f>
        <v>1601</v>
      </c>
      <c r="M11" s="67" t="n">
        <f aca="false">IF(M$5="A",Inputs_Actuals!M111,(M9*Assumptions!$C$97+M10*Assumptions!$C$98)*Assumptions!M$210)</f>
        <v>2021.383728</v>
      </c>
      <c r="N11" s="67" t="n">
        <f aca="false">IF(N$5="A",Inputs_Actuals!N111,(N9*Assumptions!$C$97+N10*Assumptions!$C$98)*Assumptions!N$210)</f>
        <v>1957.00376354175</v>
      </c>
      <c r="O11" s="67" t="n">
        <f aca="false">IF(O$5="A",Inputs_Actuals!O111,(O9*Assumptions!$C$97+O10*Assumptions!$C$98)*Assumptions!O$210)</f>
        <v>2047.71405685604</v>
      </c>
      <c r="P11" s="67" t="n">
        <f aca="false">IF(P$5="A",Inputs_Actuals!P111,(P9*Assumptions!$C$97+P10*Assumptions!$C$98)*Assumptions!P$210)</f>
        <v>1867.66629017675</v>
      </c>
      <c r="Q11" s="67" t="n">
        <f aca="false">IF(Q$5="A",Inputs_Actuals!Q111,(Q9*Assumptions!$C$97+Q10*Assumptions!$C$98)*Assumptions!Q$210)</f>
        <v>2136.48945308585</v>
      </c>
      <c r="R11" s="67" t="n">
        <f aca="false">IF(R$5="A",Inputs_Actuals!R111,(R9*Assumptions!$C$97+R10*Assumptions!$C$98)*Assumptions!R$210)</f>
        <v>2088.61087661112</v>
      </c>
      <c r="S11" s="67" t="n">
        <f aca="false">IF(S$5="A",Inputs_Actuals!S111,(S9*Assumptions!$C$97+S10*Assumptions!$C$98)*Assumptions!S$210)</f>
        <v>2032.41371023127</v>
      </c>
      <c r="T11" s="67" t="n">
        <f aca="false">IF(T$5="A",Inputs_Actuals!T111,(T9*Assumptions!$C$97+T10*Assumptions!$C$98)*Assumptions!T$210)</f>
        <v>1989.69581755412</v>
      </c>
      <c r="U11" s="67" t="n">
        <f aca="false">IF(U$5="A",Inputs_Actuals!U111,(U9*Assumptions!$C$97+U10*Assumptions!$C$98)*Assumptions!U$210)</f>
        <v>2012.4497861069</v>
      </c>
      <c r="V11" s="67" t="n">
        <f aca="false">IF(V$5="A",Inputs_Actuals!V111,(V9*Assumptions!$C$97+V10*Assumptions!$C$98)*Assumptions!V$210)</f>
        <v>1975.71759131107</v>
      </c>
      <c r="W11" s="67" t="n">
        <f aca="false">IF(W$5="A",Inputs_Actuals!W111,(W9*Assumptions!$C$97+W10*Assumptions!$C$98)*Assumptions!W$210)</f>
        <v>1957.61407027296</v>
      </c>
      <c r="X11" s="67" t="n">
        <f aca="false">IF(X$5="A",Inputs_Actuals!X111,(X9*Assumptions!$C$97+X10*Assumptions!$C$98)*Assumptions!X$210)</f>
        <v>1805.4838100929</v>
      </c>
      <c r="Y11" s="67" t="n">
        <f aca="false">IF(Y$5="A",Inputs_Actuals!Y111,(Y9*Assumptions!$C$97+Y10*Assumptions!$C$98)*Assumptions!Y$210)</f>
        <v>2220.70253969464</v>
      </c>
      <c r="Z11" s="67" t="n">
        <f aca="false">IF(Z$5="A",Inputs_Actuals!Z111,(Z9*Assumptions!$C$97+Z10*Assumptions!$C$98)*Assumptions!Z$210)</f>
        <v>2162.2829385563</v>
      </c>
      <c r="AA11" s="67" t="n">
        <f aca="false">IF(AA$5="A",Inputs_Actuals!AA111,(AA9*Assumptions!$C$97+AA10*Assumptions!$C$98)*Assumptions!AA$210)</f>
        <v>2122.59239579744</v>
      </c>
      <c r="AB11" s="67" t="n">
        <f aca="false">IF(AB$5="A",Inputs_Actuals!AB111,(AB9*Assumptions!$C$97+AB10*Assumptions!$C$98)*Assumptions!AB$210)</f>
        <v>1941.39497997134</v>
      </c>
    </row>
    <row r="12" customFormat="false" ht="15" hidden="false" customHeight="false" outlineLevel="0" collapsed="false">
      <c r="A12" s="27" t="s">
        <v>890</v>
      </c>
      <c r="B12" s="63"/>
      <c r="C12" s="74" t="n">
        <f aca="false">AVERAGE(E12:P12)</f>
        <v>36.0449493366052</v>
      </c>
      <c r="D12" s="74" t="n">
        <f aca="false">AVERAGE(Q12:AB12)</f>
        <v>35.8783713309264</v>
      </c>
      <c r="E12" s="86" t="n">
        <f aca="false">IF((E9+E10)=0,0,100*E11/(E9+E10))</f>
        <v>38.4056508577195</v>
      </c>
      <c r="F12" s="86" t="n">
        <f aca="false">IF((F9+F10)=0,0,100*F11/(F9+F10))</f>
        <v>36.8558776167472</v>
      </c>
      <c r="G12" s="86" t="n">
        <f aca="false">IF((G9+G10)=0,0,100*G11/(G9+G10))</f>
        <v>36.8462445930004</v>
      </c>
      <c r="H12" s="86" t="n">
        <f aca="false">IF((H9+H10)=0,0,100*H11/(H9+H10))</f>
        <v>36.163953716415</v>
      </c>
      <c r="I12" s="86" t="n">
        <f aca="false">IF((I9+I10)=0,0,100*I11/(I9+I10))</f>
        <v>35.7314148681055</v>
      </c>
      <c r="J12" s="86" t="n">
        <f aca="false">IF((J9+J10)=0,0,100*J11/(J9+J10))</f>
        <v>34.8623853211009</v>
      </c>
      <c r="K12" s="86" t="n">
        <f aca="false">IF((K9+K10)=0,0,100*K11/(K9+K10))</f>
        <v>34.7219531098624</v>
      </c>
      <c r="L12" s="86" t="n">
        <f aca="false">IF((L9+L10)=0,0,100*L11/(L9+L10))</f>
        <v>30.9312210200927</v>
      </c>
      <c r="M12" s="86" t="n">
        <f aca="false">IF((M9+M10)=0,0,100*M11/(M9+M10))</f>
        <v>38.9754117430425</v>
      </c>
      <c r="N12" s="86" t="n">
        <f aca="false">IF((N9+N10)=0,0,100*N11/(N9+N10))</f>
        <v>37.8957454987715</v>
      </c>
      <c r="O12" s="86" t="n">
        <f aca="false">IF((O9+O10)=0,0,100*O11/(O9+O10))</f>
        <v>37.1960755813579</v>
      </c>
      <c r="P12" s="86" t="n">
        <f aca="false">IF((P9+P10)=0,0,100*P11/(P9+P10))</f>
        <v>33.953458113047</v>
      </c>
      <c r="Q12" s="86" t="n">
        <f aca="false">IF((Q9+Q10)=0,0,100*Q11/(Q9+Q10))</f>
        <v>38.2878717817415</v>
      </c>
      <c r="R12" s="86" t="n">
        <f aca="false">IF((R9+R10)=0,0,100*R11/(R9+R10))</f>
        <v>36.8307063207342</v>
      </c>
      <c r="S12" s="86" t="n">
        <f aca="false">IF((S9+S10)=0,0,100*S11/(S9+S10))</f>
        <v>36.1015248886634</v>
      </c>
      <c r="T12" s="86" t="n">
        <f aca="false">IF((T9+T10)=0,0,100*T11/(T9+T10))</f>
        <v>35.0187292601295</v>
      </c>
      <c r="U12" s="86" t="n">
        <f aca="false">IF((U9+U10)=0,0,100*U11/(U9+U10))</f>
        <v>35.3840090587438</v>
      </c>
      <c r="V12" s="86" t="n">
        <f aca="false">IF((V9+V10)=0,0,100*V11/(V9+V10))</f>
        <v>34.6669194393378</v>
      </c>
      <c r="W12" s="86" t="n">
        <f aca="false">IF((W9+W10)=0,0,100*W11/(W9+W10))</f>
        <v>34.3113660844768</v>
      </c>
      <c r="X12" s="86" t="n">
        <f aca="false">IF((X9+X10)=0,0,100*X11/(X9+X10))</f>
        <v>31.7863731390408</v>
      </c>
      <c r="Y12" s="86" t="n">
        <f aca="false">IF((Y9+Y10)=0,0,100*Y11/(Y9+Y10))</f>
        <v>39.0162110824893</v>
      </c>
      <c r="Z12" s="86" t="n">
        <f aca="false">IF((Z9+Z10)=0,0,100*Z11/(Z9+Z10))</f>
        <v>37.9366855463827</v>
      </c>
      <c r="AA12" s="86" t="n">
        <f aca="false">IF((AA9+AA10)=0,0,100*AA11/(AA9+AA10))</f>
        <v>37.2238516145173</v>
      </c>
      <c r="AB12" s="86" t="n">
        <f aca="false">IF((AB9+AB10)=0,0,100*AB11/(AB9+AB10))</f>
        <v>33.9762077548595</v>
      </c>
    </row>
    <row r="13" customFormat="false" ht="15" hidden="false" customHeight="false" outlineLevel="0" collapsed="false">
      <c r="A13" s="21" t="s">
        <v>891</v>
      </c>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row>
    <row r="14" customFormat="false" ht="15" hidden="false" customHeight="false" outlineLevel="0" collapsed="false">
      <c r="A14" s="27" t="s">
        <v>892</v>
      </c>
      <c r="B14" s="63" t="s">
        <v>893</v>
      </c>
      <c r="C14" s="74" t="n">
        <f aca="false">SUM(E14:P14)</f>
        <v>2338.85062305033</v>
      </c>
      <c r="D14" s="74" t="n">
        <f aca="false">SUM(Q14:AB14)</f>
        <v>2566.77203677502</v>
      </c>
      <c r="E14" s="75" t="n">
        <f aca="false">E11*Assumptions!$C$99*Assumptions!$C$100</f>
        <v>199.815</v>
      </c>
      <c r="F14" s="75" t="n">
        <f aca="false">F11*Assumptions!$C$99*Assumptions!$C$100</f>
        <v>192.255</v>
      </c>
      <c r="G14" s="75" t="n">
        <f aca="false">G11*Assumptions!$C$99*Assumptions!$C$100</f>
        <v>196.77</v>
      </c>
      <c r="H14" s="75" t="n">
        <f aca="false">H11*Assumptions!$C$99*Assumptions!$C$100</f>
        <v>193.62</v>
      </c>
      <c r="I14" s="75" t="n">
        <f aca="false">I11*Assumptions!$C$99*Assumptions!$C$100</f>
        <v>187.74</v>
      </c>
      <c r="J14" s="75" t="n">
        <f aca="false">J11*Assumptions!$C$99*Assumptions!$C$100</f>
        <v>183.54</v>
      </c>
      <c r="K14" s="75" t="n">
        <f aca="false">K11*Assumptions!$C$99*Assumptions!$C$100</f>
        <v>188.16</v>
      </c>
      <c r="L14" s="75" t="n">
        <f aca="false">L11*Assumptions!$C$99*Assumptions!$C$100</f>
        <v>168.105</v>
      </c>
      <c r="M14" s="75" t="n">
        <f aca="false">M11*Assumptions!$C$99*Assumptions!$C$100</f>
        <v>212.24529144</v>
      </c>
      <c r="N14" s="75" t="n">
        <f aca="false">N11*Assumptions!$C$99*Assumptions!$C$100</f>
        <v>205.485395171884</v>
      </c>
      <c r="O14" s="75" t="n">
        <f aca="false">O11*Assumptions!$C$99*Assumptions!$C$100</f>
        <v>215.009975969884</v>
      </c>
      <c r="P14" s="75" t="n">
        <f aca="false">P11*Assumptions!$C$99*Assumptions!$C$100</f>
        <v>196.104960468558</v>
      </c>
      <c r="Q14" s="75" t="n">
        <f aca="false">Q11*Assumptions!$C$99*Assumptions!$C$100</f>
        <v>224.331392574014</v>
      </c>
      <c r="R14" s="75" t="n">
        <f aca="false">R11*Assumptions!$C$99*Assumptions!$C$100</f>
        <v>219.304142044167</v>
      </c>
      <c r="S14" s="75" t="n">
        <f aca="false">S11*Assumptions!$C$99*Assumptions!$C$100</f>
        <v>213.403439574283</v>
      </c>
      <c r="T14" s="75" t="n">
        <f aca="false">T11*Assumptions!$C$99*Assumptions!$C$100</f>
        <v>208.918060843182</v>
      </c>
      <c r="U14" s="75" t="n">
        <f aca="false">U11*Assumptions!$C$99*Assumptions!$C$100</f>
        <v>211.307227541224</v>
      </c>
      <c r="V14" s="75" t="n">
        <f aca="false">V11*Assumptions!$C$99*Assumptions!$C$100</f>
        <v>207.450347087663</v>
      </c>
      <c r="W14" s="75" t="n">
        <f aca="false">W11*Assumptions!$C$99*Assumptions!$C$100</f>
        <v>205.549477378661</v>
      </c>
      <c r="X14" s="75" t="n">
        <f aca="false">X11*Assumptions!$C$99*Assumptions!$C$100</f>
        <v>189.575800059755</v>
      </c>
      <c r="Y14" s="75" t="n">
        <f aca="false">Y11*Assumptions!$C$99*Assumptions!$C$100</f>
        <v>233.173766667937</v>
      </c>
      <c r="Z14" s="75" t="n">
        <f aca="false">Z11*Assumptions!$C$99*Assumptions!$C$100</f>
        <v>227.039708548411</v>
      </c>
      <c r="AA14" s="75" t="n">
        <f aca="false">AA11*Assumptions!$C$99*Assumptions!$C$100</f>
        <v>222.872201558732</v>
      </c>
      <c r="AB14" s="75" t="n">
        <f aca="false">AB11*Assumptions!$C$99*Assumptions!$C$100</f>
        <v>203.846472896991</v>
      </c>
    </row>
    <row r="15" customFormat="false" ht="15" hidden="false" customHeight="false" outlineLevel="0" collapsed="false">
      <c r="A15" s="27" t="s">
        <v>894</v>
      </c>
      <c r="B15" s="63" t="s">
        <v>893</v>
      </c>
      <c r="C15" s="74" t="n">
        <f aca="false">SUM(E15:P15)</f>
        <v>4811.3498531321</v>
      </c>
      <c r="D15" s="74" t="n">
        <f aca="false">SUM(Q15:AB15)</f>
        <v>5280.21676136576</v>
      </c>
      <c r="E15" s="75" t="n">
        <f aca="false">E11*Assumptions!$C$101*Assumptions!$C$102</f>
        <v>411.048</v>
      </c>
      <c r="F15" s="75" t="n">
        <f aca="false">F11*Assumptions!$C$101*Assumptions!$C$102</f>
        <v>395.496</v>
      </c>
      <c r="G15" s="75" t="n">
        <f aca="false">G11*Assumptions!$C$101*Assumptions!$C$102</f>
        <v>404.784</v>
      </c>
      <c r="H15" s="75" t="n">
        <f aca="false">H11*Assumptions!$C$101*Assumptions!$C$102</f>
        <v>398.304</v>
      </c>
      <c r="I15" s="75" t="n">
        <f aca="false">I11*Assumptions!$C$101*Assumptions!$C$102</f>
        <v>386.208</v>
      </c>
      <c r="J15" s="75" t="n">
        <f aca="false">J11*Assumptions!$C$101*Assumptions!$C$102</f>
        <v>377.568</v>
      </c>
      <c r="K15" s="75" t="n">
        <f aca="false">K11*Assumptions!$C$101*Assumptions!$C$102</f>
        <v>387.072</v>
      </c>
      <c r="L15" s="75" t="n">
        <f aca="false">L11*Assumptions!$C$101*Assumptions!$C$102</f>
        <v>345.816</v>
      </c>
      <c r="M15" s="75" t="n">
        <f aca="false">M11*Assumptions!$C$101*Assumptions!$C$102</f>
        <v>436.618885248</v>
      </c>
      <c r="N15" s="75" t="n">
        <f aca="false">N11*Assumptions!$C$101*Assumptions!$C$102</f>
        <v>422.712812925018</v>
      </c>
      <c r="O15" s="75" t="n">
        <f aca="false">O11*Assumptions!$C$101*Assumptions!$C$102</f>
        <v>442.306236280904</v>
      </c>
      <c r="P15" s="75" t="n">
        <f aca="false">P11*Assumptions!$C$101*Assumptions!$C$102</f>
        <v>403.415918678177</v>
      </c>
      <c r="Q15" s="75" t="n">
        <f aca="false">Q11*Assumptions!$C$101*Assumptions!$C$102</f>
        <v>461.481721866544</v>
      </c>
      <c r="R15" s="75" t="n">
        <f aca="false">R11*Assumptions!$C$101*Assumptions!$C$102</f>
        <v>451.139949348001</v>
      </c>
      <c r="S15" s="75" t="n">
        <f aca="false">S11*Assumptions!$C$101*Assumptions!$C$102</f>
        <v>439.001361409954</v>
      </c>
      <c r="T15" s="75" t="n">
        <f aca="false">T11*Assumptions!$C$101*Assumptions!$C$102</f>
        <v>429.774296591689</v>
      </c>
      <c r="U15" s="75" t="n">
        <f aca="false">U11*Assumptions!$C$101*Assumptions!$C$102</f>
        <v>434.689153799089</v>
      </c>
      <c r="V15" s="75" t="n">
        <f aca="false">V11*Assumptions!$C$101*Assumptions!$C$102</f>
        <v>426.754999723192</v>
      </c>
      <c r="W15" s="75" t="n">
        <f aca="false">W11*Assumptions!$C$101*Assumptions!$C$102</f>
        <v>422.84463917896</v>
      </c>
      <c r="X15" s="75" t="n">
        <f aca="false">X11*Assumptions!$C$101*Assumptions!$C$102</f>
        <v>389.984502980066</v>
      </c>
      <c r="Y15" s="75" t="n">
        <f aca="false">Y11*Assumptions!$C$101*Assumptions!$C$102</f>
        <v>479.671748574043</v>
      </c>
      <c r="Z15" s="75" t="n">
        <f aca="false">Z11*Assumptions!$C$101*Assumptions!$C$102</f>
        <v>467.05311472816</v>
      </c>
      <c r="AA15" s="75" t="n">
        <f aca="false">AA11*Assumptions!$C$101*Assumptions!$C$102</f>
        <v>458.479957492248</v>
      </c>
      <c r="AB15" s="75" t="n">
        <f aca="false">AB11*Assumptions!$C$101*Assumptions!$C$102</f>
        <v>419.34131567381</v>
      </c>
    </row>
    <row r="16" customFormat="false" ht="15" hidden="false" customHeight="false" outlineLevel="0" collapsed="false">
      <c r="A16" s="27" t="s">
        <v>895</v>
      </c>
      <c r="B16" s="63" t="s">
        <v>893</v>
      </c>
      <c r="C16" s="74" t="n">
        <f aca="false">SUM(E16:P16)</f>
        <v>11026.0100800944</v>
      </c>
      <c r="D16" s="74" t="n">
        <f aca="false">SUM(Q16:AB16)</f>
        <v>12100.4967447965</v>
      </c>
      <c r="E16" s="75" t="n">
        <f aca="false">E11*Assumptions!$C$103*Assumptions!$C$104</f>
        <v>941.985</v>
      </c>
      <c r="F16" s="75" t="n">
        <f aca="false">F11*Assumptions!$C$103*Assumptions!$C$104</f>
        <v>906.345</v>
      </c>
      <c r="G16" s="75" t="n">
        <f aca="false">G11*Assumptions!$C$103*Assumptions!$C$104</f>
        <v>927.63</v>
      </c>
      <c r="H16" s="75" t="n">
        <f aca="false">H11*Assumptions!$C$103*Assumptions!$C$104</f>
        <v>912.78</v>
      </c>
      <c r="I16" s="75" t="n">
        <f aca="false">I11*Assumptions!$C$103*Assumptions!$C$104</f>
        <v>885.06</v>
      </c>
      <c r="J16" s="75" t="n">
        <f aca="false">J11*Assumptions!$C$103*Assumptions!$C$104</f>
        <v>865.26</v>
      </c>
      <c r="K16" s="75" t="n">
        <f aca="false">K11*Assumptions!$C$103*Assumptions!$C$104</f>
        <v>887.04</v>
      </c>
      <c r="L16" s="75" t="n">
        <f aca="false">L11*Assumptions!$C$103*Assumptions!$C$104</f>
        <v>792.495</v>
      </c>
      <c r="M16" s="75" t="n">
        <f aca="false">M11*Assumptions!$C$103*Assumptions!$C$104</f>
        <v>1000.58494536</v>
      </c>
      <c r="N16" s="75" t="n">
        <f aca="false">N11*Assumptions!$C$103*Assumptions!$C$104</f>
        <v>968.716862953166</v>
      </c>
      <c r="O16" s="75" t="n">
        <f aca="false">O11*Assumptions!$C$103*Assumptions!$C$104</f>
        <v>1013.61845814374</v>
      </c>
      <c r="P16" s="75" t="n">
        <f aca="false">P11*Assumptions!$C$103*Assumptions!$C$104</f>
        <v>924.494813637489</v>
      </c>
      <c r="Q16" s="75" t="n">
        <f aca="false">Q11*Assumptions!$C$103*Assumptions!$C$104</f>
        <v>1057.5622792775</v>
      </c>
      <c r="R16" s="75" t="n">
        <f aca="false">R11*Assumptions!$C$103*Assumptions!$C$104</f>
        <v>1033.8623839225</v>
      </c>
      <c r="S16" s="75" t="n">
        <f aca="false">S11*Assumptions!$C$103*Assumptions!$C$104</f>
        <v>1006.04478656448</v>
      </c>
      <c r="T16" s="75" t="n">
        <f aca="false">T11*Assumptions!$C$103*Assumptions!$C$104</f>
        <v>984.899429689288</v>
      </c>
      <c r="U16" s="75" t="n">
        <f aca="false">U11*Assumptions!$C$103*Assumptions!$C$104</f>
        <v>996.162644122914</v>
      </c>
      <c r="V16" s="75" t="n">
        <f aca="false">V11*Assumptions!$C$103*Assumptions!$C$104</f>
        <v>977.980207698981</v>
      </c>
      <c r="W16" s="75" t="n">
        <f aca="false">W11*Assumptions!$C$103*Assumptions!$C$104</f>
        <v>969.018964785116</v>
      </c>
      <c r="X16" s="75" t="n">
        <f aca="false">X11*Assumptions!$C$103*Assumptions!$C$104</f>
        <v>893.714485995986</v>
      </c>
      <c r="Y16" s="75" t="n">
        <f aca="false">Y11*Assumptions!$C$103*Assumptions!$C$104</f>
        <v>1099.24775714885</v>
      </c>
      <c r="Z16" s="75" t="n">
        <f aca="false">Z11*Assumptions!$C$103*Assumptions!$C$104</f>
        <v>1070.33005458537</v>
      </c>
      <c r="AA16" s="75" t="n">
        <f aca="false">AA11*Assumptions!$C$103*Assumptions!$C$104</f>
        <v>1050.68323591974</v>
      </c>
      <c r="AB16" s="75" t="n">
        <f aca="false">AB11*Assumptions!$C$103*Assumptions!$C$104</f>
        <v>960.990515085814</v>
      </c>
    </row>
    <row r="17" customFormat="false" ht="15" hidden="false" customHeight="false" outlineLevel="0" collapsed="false">
      <c r="A17" s="27" t="s">
        <v>896</v>
      </c>
      <c r="B17" s="63" t="s">
        <v>893</v>
      </c>
      <c r="C17" s="74" t="n">
        <f aca="false">SUM(E17:P17)</f>
        <v>3007.09365820756</v>
      </c>
      <c r="D17" s="74" t="n">
        <f aca="false">SUM(Q17:AB17)</f>
        <v>3300.1354758536</v>
      </c>
      <c r="E17" s="75" t="n">
        <f aca="false">E11*Assumptions!$C$105*Assumptions!$C$106</f>
        <v>256.905</v>
      </c>
      <c r="F17" s="75" t="n">
        <f aca="false">F11*Assumptions!$C$105*Assumptions!$C$106</f>
        <v>247.185</v>
      </c>
      <c r="G17" s="75" t="n">
        <f aca="false">G11*Assumptions!$C$105*Assumptions!$C$106</f>
        <v>252.99</v>
      </c>
      <c r="H17" s="75" t="n">
        <f aca="false">H11*Assumptions!$C$105*Assumptions!$C$106</f>
        <v>248.94</v>
      </c>
      <c r="I17" s="75" t="n">
        <f aca="false">I11*Assumptions!$C$105*Assumptions!$C$106</f>
        <v>241.38</v>
      </c>
      <c r="J17" s="75" t="n">
        <f aca="false">J11*Assumptions!$C$105*Assumptions!$C$106</f>
        <v>235.98</v>
      </c>
      <c r="K17" s="75" t="n">
        <f aca="false">K11*Assumptions!$C$105*Assumptions!$C$106</f>
        <v>241.92</v>
      </c>
      <c r="L17" s="75" t="n">
        <f aca="false">L11*Assumptions!$C$105*Assumptions!$C$106</f>
        <v>216.135</v>
      </c>
      <c r="M17" s="75" t="n">
        <f aca="false">M11*Assumptions!$C$105*Assumptions!$C$106</f>
        <v>272.88680328</v>
      </c>
      <c r="N17" s="75" t="n">
        <f aca="false">N11*Assumptions!$C$105*Assumptions!$C$106</f>
        <v>264.195508078136</v>
      </c>
      <c r="O17" s="75" t="n">
        <f aca="false">O11*Assumptions!$C$105*Assumptions!$C$106</f>
        <v>276.441397675565</v>
      </c>
      <c r="P17" s="75" t="n">
        <f aca="false">P11*Assumptions!$C$105*Assumptions!$C$106</f>
        <v>252.134949173861</v>
      </c>
      <c r="Q17" s="75" t="n">
        <f aca="false">Q11*Assumptions!$C$105*Assumptions!$C$106</f>
        <v>288.42607616659</v>
      </c>
      <c r="R17" s="75" t="n">
        <f aca="false">R11*Assumptions!$C$105*Assumptions!$C$106</f>
        <v>281.962468342501</v>
      </c>
      <c r="S17" s="75" t="n">
        <f aca="false">S11*Assumptions!$C$105*Assumptions!$C$106</f>
        <v>274.375850881221</v>
      </c>
      <c r="T17" s="75" t="n">
        <f aca="false">T11*Assumptions!$C$105*Assumptions!$C$106</f>
        <v>268.608935369806</v>
      </c>
      <c r="U17" s="75" t="n">
        <f aca="false">U11*Assumptions!$C$105*Assumptions!$C$106</f>
        <v>271.680721124431</v>
      </c>
      <c r="V17" s="75" t="n">
        <f aca="false">V11*Assumptions!$C$105*Assumptions!$C$106</f>
        <v>266.721874826995</v>
      </c>
      <c r="W17" s="75" t="n">
        <f aca="false">W11*Assumptions!$C$105*Assumptions!$C$106</f>
        <v>264.27789948685</v>
      </c>
      <c r="X17" s="75" t="n">
        <f aca="false">X11*Assumptions!$C$105*Assumptions!$C$106</f>
        <v>243.740314362541</v>
      </c>
      <c r="Y17" s="75" t="n">
        <f aca="false">Y11*Assumptions!$C$105*Assumptions!$C$106</f>
        <v>299.794842858777</v>
      </c>
      <c r="Z17" s="75" t="n">
        <f aca="false">Z11*Assumptions!$C$105*Assumptions!$C$106</f>
        <v>291.9081967051</v>
      </c>
      <c r="AA17" s="75" t="n">
        <f aca="false">AA11*Assumptions!$C$105*Assumptions!$C$106</f>
        <v>286.549973432655</v>
      </c>
      <c r="AB17" s="75" t="n">
        <f aca="false">AB11*Assumptions!$C$105*Assumptions!$C$106</f>
        <v>262.088322296131</v>
      </c>
    </row>
    <row r="18" customFormat="false" ht="15" hidden="false" customHeight="false" outlineLevel="0" collapsed="false">
      <c r="A18" s="27" t="s">
        <v>897</v>
      </c>
      <c r="B18" s="63"/>
      <c r="C18" s="74" t="n">
        <f aca="false">SUM(E18:P18)</f>
        <v>21183.3042144844</v>
      </c>
      <c r="D18" s="74" t="n">
        <f aca="false">SUM(Q18:AB18)</f>
        <v>23247.6210187909</v>
      </c>
      <c r="E18" s="86" t="n">
        <f aca="false">E14+E15+E16+E17</f>
        <v>1809.753</v>
      </c>
      <c r="F18" s="86" t="n">
        <f aca="false">F14+F15+F16+F17</f>
        <v>1741.281</v>
      </c>
      <c r="G18" s="86" t="n">
        <f aca="false">G14+G15+G16+G17</f>
        <v>1782.174</v>
      </c>
      <c r="H18" s="86" t="n">
        <f aca="false">H14+H15+H16+H17</f>
        <v>1753.644</v>
      </c>
      <c r="I18" s="86" t="n">
        <f aca="false">I14+I15+I16+I17</f>
        <v>1700.388</v>
      </c>
      <c r="J18" s="86" t="n">
        <f aca="false">J14+J15+J16+J17</f>
        <v>1662.348</v>
      </c>
      <c r="K18" s="86" t="n">
        <f aca="false">K14+K15+K16+K17</f>
        <v>1704.192</v>
      </c>
      <c r="L18" s="86" t="n">
        <f aca="false">L14+L15+L16+L17</f>
        <v>1522.551</v>
      </c>
      <c r="M18" s="86" t="n">
        <f aca="false">M14+M15+M16+M17</f>
        <v>1922.335925328</v>
      </c>
      <c r="N18" s="86" t="n">
        <f aca="false">N14+N15+N16+N17</f>
        <v>1861.1105791282</v>
      </c>
      <c r="O18" s="86" t="n">
        <f aca="false">O14+O15+O16+O17</f>
        <v>1947.37606807009</v>
      </c>
      <c r="P18" s="86" t="n">
        <f aca="false">P14+P15+P16+P17</f>
        <v>1776.15064195809</v>
      </c>
      <c r="Q18" s="86" t="n">
        <f aca="false">Q14+Q15+Q16+Q17</f>
        <v>2031.80146988464</v>
      </c>
      <c r="R18" s="86" t="n">
        <f aca="false">R14+R15+R16+R17</f>
        <v>1986.26894365717</v>
      </c>
      <c r="S18" s="86" t="n">
        <f aca="false">S14+S15+S16+S17</f>
        <v>1932.82543842994</v>
      </c>
      <c r="T18" s="86" t="n">
        <f aca="false">T14+T15+T16+T17</f>
        <v>1892.20072249396</v>
      </c>
      <c r="U18" s="86" t="n">
        <f aca="false">U14+U15+U16+U17</f>
        <v>1913.83974658766</v>
      </c>
      <c r="V18" s="86" t="n">
        <f aca="false">V14+V15+V16+V17</f>
        <v>1878.90742933683</v>
      </c>
      <c r="W18" s="86" t="n">
        <f aca="false">W14+W15+W16+W17</f>
        <v>1861.69098082959</v>
      </c>
      <c r="X18" s="86" t="n">
        <f aca="false">X14+X15+X16+X17</f>
        <v>1717.01510339835</v>
      </c>
      <c r="Y18" s="86" t="n">
        <f aca="false">Y14+Y15+Y16+Y17</f>
        <v>2111.8881152496</v>
      </c>
      <c r="Z18" s="86" t="n">
        <f aca="false">Z14+Z15+Z16+Z17</f>
        <v>2056.33107456704</v>
      </c>
      <c r="AA18" s="86" t="n">
        <f aca="false">AA14+AA15+AA16+AA17</f>
        <v>2018.58536840337</v>
      </c>
      <c r="AB18" s="86" t="n">
        <f aca="false">AB14+AB15+AB16+AB17</f>
        <v>1846.26662595275</v>
      </c>
    </row>
    <row r="19" customFormat="false" ht="15" hidden="false" customHeight="false" outlineLevel="0" collapsed="false">
      <c r="A19" s="27" t="s">
        <v>898</v>
      </c>
      <c r="B19" s="63" t="s">
        <v>899</v>
      </c>
      <c r="C19" s="74" t="n">
        <f aca="false">SUM(E19:P19)</f>
        <v>24655.1626612123</v>
      </c>
      <c r="D19" s="74" t="n">
        <f aca="false">SUM(Q19:AB19)</f>
        <v>27097.0841381167</v>
      </c>
      <c r="E19" s="75" t="n">
        <f aca="false">(E10*Assumptions!$C$108+E9*Assumptions!$C$109)*(1-Assumptions!$C$110*Assumptions!E$215)</f>
        <v>2025.15020952381</v>
      </c>
      <c r="F19" s="75" t="n">
        <f aca="false">(F10*Assumptions!$C$108+F9*Assumptions!$C$109)*(1-Assumptions!$C$110*Assumptions!F$215)</f>
        <v>2016.72057142857</v>
      </c>
      <c r="G19" s="75" t="n">
        <f aca="false">(G10*Assumptions!$C$108+G9*Assumptions!$C$109)*(1-Assumptions!$C$110*Assumptions!G$215)</f>
        <v>2066.5990952381</v>
      </c>
      <c r="H19" s="75" t="n">
        <f aca="false">(H10*Assumptions!$C$108+H9*Assumptions!$C$109)*(1-Assumptions!$C$110*Assumptions!H$215)</f>
        <v>2026.31741428571</v>
      </c>
      <c r="I19" s="75" t="n">
        <f aca="false">(I10*Assumptions!$C$108+I9*Assumptions!$C$109)*(1-Assumptions!$C$110*Assumptions!I$215)</f>
        <v>2026.44514285714</v>
      </c>
      <c r="J19" s="75" t="n">
        <f aca="false">(J10*Assumptions!$C$108+J9*Assumptions!$C$109)*(1-Assumptions!$C$110*Assumptions!J$215)</f>
        <v>1996.29288571429</v>
      </c>
      <c r="K19" s="75" t="n">
        <f aca="false">(K10*Assumptions!$C$108+K9*Assumptions!$C$109)*(1-Assumptions!$C$110*Assumptions!K$215)</f>
        <v>1996.66086666667</v>
      </c>
      <c r="L19" s="75" t="n">
        <f aca="false">(L10*Assumptions!$C$108+L9*Assumptions!$C$109)*(1-Assumptions!$C$110*Assumptions!L$215)</f>
        <v>1910.59024761905</v>
      </c>
      <c r="M19" s="75" t="n">
        <f aca="false">(M10*Assumptions!$C$108+M9*Assumptions!$C$109)*(1-Assumptions!$C$110*Assumptions!M$215)</f>
        <v>2072.09988672381</v>
      </c>
      <c r="N19" s="75" t="n">
        <f aca="false">(N10*Assumptions!$C$108+N9*Assumptions!$C$109)*(1-Assumptions!$C$110*Assumptions!N$215)</f>
        <v>2096.55135148125</v>
      </c>
      <c r="O19" s="75" t="n">
        <f aca="false">(O10*Assumptions!$C$108+O9*Assumptions!$C$109)*(1-Assumptions!$C$110*Assumptions!O$215)</f>
        <v>2242.56500634835</v>
      </c>
      <c r="P19" s="75" t="n">
        <f aca="false">(P10*Assumptions!$C$108+P9*Assumptions!$C$109)*(1-Assumptions!$C$110*Assumptions!P$215)</f>
        <v>2179.16998332554</v>
      </c>
      <c r="Q19" s="75" t="n">
        <f aca="false">(Q10*Assumptions!$C$108+Q9*Assumptions!$C$109)*(1-Assumptions!$C$110*Assumptions!Q$215)</f>
        <v>2271.40224692493</v>
      </c>
      <c r="R19" s="75" t="n">
        <f aca="false">(R10*Assumptions!$C$108+R9*Assumptions!$C$109)*(1-Assumptions!$C$110*Assumptions!R$215)</f>
        <v>2298.56724599714</v>
      </c>
      <c r="S19" s="75" t="n">
        <f aca="false">(S10*Assumptions!$C$108+S9*Assumptions!$C$109)*(1-Assumptions!$C$110*Assumptions!S$215)</f>
        <v>2283.37424836619</v>
      </c>
      <c r="T19" s="75" t="n">
        <f aca="false">(T10*Assumptions!$C$108+T9*Assumptions!$C$109)*(1-Assumptions!$C$110*Assumptions!T$215)</f>
        <v>2254.86364908421</v>
      </c>
      <c r="U19" s="75" t="n">
        <f aca="false">(U10*Assumptions!$C$108+U9*Assumptions!$C$109)*(1-Assumptions!$C$110*Assumptions!U$215)</f>
        <v>2293.40990120936</v>
      </c>
      <c r="V19" s="75" t="n">
        <f aca="false">(V10*Assumptions!$C$108+V9*Assumptions!$C$109)*(1-Assumptions!$C$110*Assumptions!V$215)</f>
        <v>2259.74462656241</v>
      </c>
      <c r="W19" s="75" t="n">
        <f aca="false">(W10*Assumptions!$C$108+W9*Assumptions!$C$109)*(1-Assumptions!$C$110*Assumptions!W$215)</f>
        <v>2198.87189126645</v>
      </c>
      <c r="X19" s="75" t="n">
        <f aca="false">(X10*Assumptions!$C$108+X9*Assumptions!$C$109)*(1-Assumptions!$C$110*Assumptions!X$215)</f>
        <v>2089.39199029996</v>
      </c>
      <c r="Y19" s="75" t="n">
        <f aca="false">(Y10*Assumptions!$C$108+Y9*Assumptions!$C$109)*(1-Assumptions!$C$110*Assumptions!Y$215)</f>
        <v>2266.12842106271</v>
      </c>
      <c r="Z19" s="75" t="n">
        <f aca="false">(Z10*Assumptions!$C$108+Z9*Assumptions!$C$109)*(1-Assumptions!$C$110*Assumptions!Z$215)</f>
        <v>2305.65814663649</v>
      </c>
      <c r="AA19" s="75" t="n">
        <f aca="false">(AA10*Assumptions!$C$108+AA9*Assumptions!$C$109)*(1-Assumptions!$C$110*Assumptions!AA$215)</f>
        <v>2317.05271427944</v>
      </c>
      <c r="AB19" s="75" t="n">
        <f aca="false">(AB10*Assumptions!$C$108+AB9*Assumptions!$C$109)*(1-Assumptions!$C$110*Assumptions!AB$215)</f>
        <v>2258.61905642743</v>
      </c>
    </row>
    <row r="20" customFormat="false" ht="15" hidden="false" customHeight="false" outlineLevel="0" collapsed="false">
      <c r="A20" s="27" t="s">
        <v>900</v>
      </c>
      <c r="B20" s="63" t="s">
        <v>901</v>
      </c>
      <c r="C20" s="74" t="n">
        <f aca="false">SUM(E20:P20)</f>
        <v>1036</v>
      </c>
      <c r="D20" s="74" t="n">
        <f aca="false">SUM(Q20:AB20)</f>
        <v>326</v>
      </c>
      <c r="E20" s="75" t="n">
        <f aca="false">Contracts!E171*Assumptions!$C$111</f>
        <v>0</v>
      </c>
      <c r="F20" s="75" t="n">
        <f aca="false">Contracts!F171*Assumptions!$C$111</f>
        <v>0</v>
      </c>
      <c r="G20" s="75" t="n">
        <f aca="false">Contracts!G171*Assumptions!$C$111</f>
        <v>160</v>
      </c>
      <c r="H20" s="75" t="n">
        <f aca="false">Contracts!H171*Assumptions!$C$111</f>
        <v>0</v>
      </c>
      <c r="I20" s="75" t="n">
        <f aca="false">Contracts!I171*Assumptions!$C$111</f>
        <v>132</v>
      </c>
      <c r="J20" s="75" t="n">
        <f aca="false">Contracts!J171*Assumptions!$C$111</f>
        <v>0</v>
      </c>
      <c r="K20" s="75" t="n">
        <f aca="false">Contracts!K171*Assumptions!$C$111</f>
        <v>216</v>
      </c>
      <c r="L20" s="75" t="n">
        <f aca="false">Contracts!L171*Assumptions!$C$111</f>
        <v>0</v>
      </c>
      <c r="M20" s="75" t="n">
        <f aca="false">Contracts!M171*Assumptions!$C$111</f>
        <v>0</v>
      </c>
      <c r="N20" s="75" t="n">
        <f aca="false">Contracts!N171*Assumptions!$C$111</f>
        <v>0</v>
      </c>
      <c r="O20" s="75" t="n">
        <f aca="false">Contracts!O171*Assumptions!$C$111</f>
        <v>528</v>
      </c>
      <c r="P20" s="75" t="n">
        <f aca="false">Contracts!P171*Assumptions!$C$111</f>
        <v>0</v>
      </c>
      <c r="Q20" s="75" t="n">
        <f aca="false">Contracts!Q171*Assumptions!$C$111</f>
        <v>120</v>
      </c>
      <c r="R20" s="75" t="n">
        <f aca="false">Contracts!R171*Assumptions!$C$111</f>
        <v>126</v>
      </c>
      <c r="S20" s="75" t="n">
        <f aca="false">Contracts!S171*Assumptions!$C$111</f>
        <v>0</v>
      </c>
      <c r="T20" s="75" t="n">
        <f aca="false">Contracts!T171*Assumptions!$C$111</f>
        <v>80</v>
      </c>
      <c r="U20" s="75" t="n">
        <f aca="false">Contracts!U171*Assumptions!$C$111</f>
        <v>0</v>
      </c>
      <c r="V20" s="75" t="n">
        <f aca="false">Contracts!V171*Assumptions!$C$111</f>
        <v>0</v>
      </c>
      <c r="W20" s="75" t="n">
        <f aca="false">Contracts!W171*Assumptions!$C$111</f>
        <v>0</v>
      </c>
      <c r="X20" s="75" t="n">
        <f aca="false">Contracts!X171*Assumptions!$C$111</f>
        <v>0</v>
      </c>
      <c r="Y20" s="75" t="n">
        <f aca="false">Contracts!Y171*Assumptions!$C$111</f>
        <v>0</v>
      </c>
      <c r="Z20" s="75" t="n">
        <f aca="false">Contracts!Z171*Assumptions!$C$111</f>
        <v>0</v>
      </c>
      <c r="AA20" s="75" t="n">
        <f aca="false">Contracts!AA171*Assumptions!$C$111</f>
        <v>0</v>
      </c>
      <c r="AB20" s="75" t="n">
        <f aca="false">Contracts!AB171*Assumptions!$C$111</f>
        <v>0</v>
      </c>
    </row>
    <row r="21" customFormat="false" ht="15" hidden="false" customHeight="false" outlineLevel="0" collapsed="false">
      <c r="A21" s="59" t="s">
        <v>902</v>
      </c>
      <c r="B21" s="60"/>
      <c r="C21" s="123" t="n">
        <f aca="false">SUM(E21:P21)</f>
        <v>46874.4668756967</v>
      </c>
      <c r="D21" s="123" t="n">
        <f aca="false">SUM(Q21:AB21)</f>
        <v>50670.7051569076</v>
      </c>
      <c r="E21" s="123" t="n">
        <f aca="false">E18+E19+E20</f>
        <v>3834.90320952381</v>
      </c>
      <c r="F21" s="123" t="n">
        <f aca="false">F18+F19+F20</f>
        <v>3758.00157142857</v>
      </c>
      <c r="G21" s="123" t="n">
        <f aca="false">G18+G19+G20</f>
        <v>4008.7730952381</v>
      </c>
      <c r="H21" s="123" t="n">
        <f aca="false">H18+H19+H20</f>
        <v>3779.96141428571</v>
      </c>
      <c r="I21" s="123" t="n">
        <f aca="false">I18+I19+I20</f>
        <v>3858.83314285714</v>
      </c>
      <c r="J21" s="123" t="n">
        <f aca="false">J18+J19+J20</f>
        <v>3658.64088571429</v>
      </c>
      <c r="K21" s="123" t="n">
        <f aca="false">K18+K19+K20</f>
        <v>3916.85286666667</v>
      </c>
      <c r="L21" s="123" t="n">
        <f aca="false">L18+L19+L20</f>
        <v>3433.14124761905</v>
      </c>
      <c r="M21" s="123" t="n">
        <f aca="false">M18+M19+M20</f>
        <v>3994.43581205181</v>
      </c>
      <c r="N21" s="123" t="n">
        <f aca="false">N18+N19+N20</f>
        <v>3957.66193060945</v>
      </c>
      <c r="O21" s="123" t="n">
        <f aca="false">O18+O19+O20</f>
        <v>4717.94107441844</v>
      </c>
      <c r="P21" s="123" t="n">
        <f aca="false">P18+P19+P20</f>
        <v>3955.32062528363</v>
      </c>
      <c r="Q21" s="123" t="n">
        <f aca="false">Q18+Q19+Q20</f>
        <v>4423.20371680957</v>
      </c>
      <c r="R21" s="123" t="n">
        <f aca="false">R18+R19+R20</f>
        <v>4410.83618965432</v>
      </c>
      <c r="S21" s="123" t="n">
        <f aca="false">S18+S19+S20</f>
        <v>4216.19968679612</v>
      </c>
      <c r="T21" s="123" t="n">
        <f aca="false">T18+T19+T20</f>
        <v>4227.06437157818</v>
      </c>
      <c r="U21" s="123" t="n">
        <f aca="false">U18+U19+U20</f>
        <v>4207.24964779702</v>
      </c>
      <c r="V21" s="123" t="n">
        <f aca="false">V18+V19+V20</f>
        <v>4138.65205589924</v>
      </c>
      <c r="W21" s="123" t="n">
        <f aca="false">W18+W19+W20</f>
        <v>4060.56287209604</v>
      </c>
      <c r="X21" s="123" t="n">
        <f aca="false">X18+X19+X20</f>
        <v>3806.40709369831</v>
      </c>
      <c r="Y21" s="123" t="n">
        <f aca="false">Y18+Y19+Y20</f>
        <v>4378.01653631232</v>
      </c>
      <c r="Z21" s="123" t="n">
        <f aca="false">Z18+Z19+Z20</f>
        <v>4361.98922120353</v>
      </c>
      <c r="AA21" s="123" t="n">
        <f aca="false">AA18+AA19+AA20</f>
        <v>4335.6380826828</v>
      </c>
      <c r="AB21" s="123" t="n">
        <f aca="false">AB18+AB19+AB20</f>
        <v>4104.88568238017</v>
      </c>
    </row>
    <row r="22" customFormat="false" ht="15" hidden="false" customHeight="false" outlineLevel="0" collapsed="false">
      <c r="A22" s="21" t="s">
        <v>903</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row>
    <row r="23" customFormat="false" ht="15" hidden="false" customHeight="false" outlineLevel="0" collapsed="false">
      <c r="A23" s="27" t="s">
        <v>904</v>
      </c>
      <c r="B23" s="63" t="s">
        <v>61</v>
      </c>
      <c r="C23" s="74" t="n">
        <f aca="false">P23</f>
        <v>41.0636517780633</v>
      </c>
      <c r="D23" s="74" t="n">
        <f aca="false">AB23</f>
        <v>45.9283386764027</v>
      </c>
      <c r="E23" s="75" t="n">
        <f aca="false">People!E27</f>
        <v>39</v>
      </c>
      <c r="F23" s="75" t="n">
        <f aca="false">People!F27</f>
        <v>39</v>
      </c>
      <c r="G23" s="75" t="n">
        <f aca="false">People!G27</f>
        <v>38</v>
      </c>
      <c r="H23" s="75" t="n">
        <f aca="false">People!H27</f>
        <v>37</v>
      </c>
      <c r="I23" s="75" t="n">
        <f aca="false">People!I27</f>
        <v>36</v>
      </c>
      <c r="J23" s="75" t="n">
        <f aca="false">People!J27</f>
        <v>36</v>
      </c>
      <c r="K23" s="75" t="n">
        <f aca="false">People!K27</f>
        <v>37</v>
      </c>
      <c r="L23" s="75" t="n">
        <f aca="false">People!L27</f>
        <v>37</v>
      </c>
      <c r="M23" s="75" t="n">
        <f aca="false">People!M27</f>
        <v>36.5683333333333</v>
      </c>
      <c r="N23" s="75" t="n">
        <f aca="false">People!N27</f>
        <v>39.1417027777778</v>
      </c>
      <c r="O23" s="75" t="n">
        <f aca="false">People!O27</f>
        <v>41.1167162453704</v>
      </c>
      <c r="P23" s="75" t="n">
        <f aca="false">People!P27</f>
        <v>41.0636517780633</v>
      </c>
      <c r="Q23" s="75" t="n">
        <f aca="false">People!Q27</f>
        <v>43.0412290397266</v>
      </c>
      <c r="R23" s="75" t="n">
        <f aca="false">People!R27</f>
        <v>43.0187763904591</v>
      </c>
      <c r="S23" s="75" t="n">
        <f aca="false">People!S27</f>
        <v>43.9959666033145</v>
      </c>
      <c r="T23" s="75" t="n">
        <f aca="false">People!T27</f>
        <v>44.984827998406</v>
      </c>
      <c r="U23" s="75" t="n">
        <f aca="false">People!U27</f>
        <v>44.9618907296466</v>
      </c>
      <c r="V23" s="75" t="n">
        <f aca="false">People!V27</f>
        <v>45.9506216148394</v>
      </c>
      <c r="W23" s="75" t="n">
        <f aca="false">People!W27</f>
        <v>45.9393540226477</v>
      </c>
      <c r="X23" s="75" t="n">
        <f aca="false">People!X27</f>
        <v>45.9279502842293</v>
      </c>
      <c r="Y23" s="75" t="n">
        <f aca="false">People!Y27</f>
        <v>45.9282147830864</v>
      </c>
      <c r="Z23" s="75" t="n">
        <f aca="false">People!Z27</f>
        <v>45.9283447408813</v>
      </c>
      <c r="AA23" s="75" t="n">
        <f aca="false">People!AA27</f>
        <v>45.928340138887</v>
      </c>
      <c r="AB23" s="75" t="n">
        <f aca="false">People!AB27</f>
        <v>45.9283386764027</v>
      </c>
    </row>
    <row r="24" customFormat="false" ht="15" hidden="false" customHeight="false" outlineLevel="0" collapsed="false">
      <c r="A24" s="27" t="s">
        <v>905</v>
      </c>
      <c r="B24" s="63" t="s">
        <v>906</v>
      </c>
      <c r="C24" s="74" t="n">
        <f aca="false">SUM(E24:P24)</f>
        <v>52594.0416377204</v>
      </c>
      <c r="D24" s="74" t="n">
        <f aca="false">SUM(Q24:AB24)</f>
        <v>62236.3331623648</v>
      </c>
      <c r="E24" s="75" t="n">
        <f aca="false">E23*Assumptions!$C$112*(1-Assumptions!E$215)</f>
        <v>4708.08</v>
      </c>
      <c r="F24" s="75" t="n">
        <f aca="false">F23*Assumptions!$C$112*(1-Assumptions!F$215)</f>
        <v>4656.6</v>
      </c>
      <c r="G24" s="75" t="n">
        <f aca="false">G23*Assumptions!$C$112*(1-Assumptions!G$215)</f>
        <v>4537.2</v>
      </c>
      <c r="H24" s="75" t="n">
        <f aca="false">H23*Assumptions!$C$112*(1-Assumptions!H$215)</f>
        <v>4222.44</v>
      </c>
      <c r="I24" s="75" t="n">
        <f aca="false">I23*Assumptions!$C$112*(1-Assumptions!I$215)</f>
        <v>4250.88</v>
      </c>
      <c r="J24" s="75" t="n">
        <f aca="false">J23*Assumptions!$C$112*(1-Assumptions!J$215)</f>
        <v>4108.32</v>
      </c>
      <c r="K24" s="75" t="n">
        <f aca="false">K23*Assumptions!$C$112*(1-Assumptions!K$215)</f>
        <v>3978.24</v>
      </c>
      <c r="L24" s="75" t="n">
        <f aca="false">L23*Assumptions!$C$112*(1-Assumptions!L$215)</f>
        <v>3587.52</v>
      </c>
      <c r="M24" s="75" t="n">
        <f aca="false">M23*Assumptions!$C$112*(1-Assumptions!M$215)</f>
        <v>4221.4484</v>
      </c>
      <c r="N24" s="75" t="n">
        <f aca="false">N23*Assumptions!$C$112*(1-Assumptions!N$215)</f>
        <v>4673.51931166667</v>
      </c>
      <c r="O24" s="75" t="n">
        <f aca="false">O23*Assumptions!$C$112*(1-Assumptions!O$215)</f>
        <v>4963.60998514111</v>
      </c>
      <c r="P24" s="75" t="n">
        <f aca="false">P23*Assumptions!$C$112*(1-Assumptions!P$215)</f>
        <v>4686.18394091258</v>
      </c>
      <c r="Q24" s="75" t="n">
        <f aca="false">Q23*Assumptions!$C$112*(1-Assumptions!Q$215)</f>
        <v>5195.9371696758</v>
      </c>
      <c r="R24" s="75" t="n">
        <f aca="false">R23*Assumptions!$C$112*(1-Assumptions!R$215)</f>
        <v>5136.44190102082</v>
      </c>
      <c r="S24" s="75" t="n">
        <f aca="false">S23*Assumptions!$C$112*(1-Assumptions!S$215)</f>
        <v>5253.11841243575</v>
      </c>
      <c r="T24" s="75" t="n">
        <f aca="false">T23*Assumptions!$C$112*(1-Assumptions!T$215)</f>
        <v>5133.66857117809</v>
      </c>
      <c r="U24" s="75" t="n">
        <f aca="false">U23*Assumptions!$C$112*(1-Assumptions!U$215)</f>
        <v>5309.10005735667</v>
      </c>
      <c r="V24" s="75" t="n">
        <f aca="false">V23*Assumptions!$C$112*(1-Assumptions!V$215)</f>
        <v>5243.88493868547</v>
      </c>
      <c r="W24" s="75" t="n">
        <f aca="false">W23*Assumptions!$C$112*(1-Assumptions!W$215)</f>
        <v>4939.39934451508</v>
      </c>
      <c r="X24" s="75" t="n">
        <f aca="false">X23*Assumptions!$C$112*(1-Assumptions!X$215)</f>
        <v>4453.17405955887</v>
      </c>
      <c r="Y24" s="75" t="n">
        <f aca="false">Y23*Assumptions!$C$112*(1-Assumptions!Y$215)</f>
        <v>5301.9531145595</v>
      </c>
      <c r="Z24" s="75" t="n">
        <f aca="false">Z23*Assumptions!$C$112*(1-Assumptions!Z$215)</f>
        <v>5483.84436206123</v>
      </c>
      <c r="AA24" s="75" t="n">
        <f aca="false">AA23*Assumptions!$C$112*(1-Assumptions!AA$215)</f>
        <v>5544.46922156644</v>
      </c>
      <c r="AB24" s="75" t="n">
        <f aca="false">AB23*Assumptions!$C$112*(1-Assumptions!AB$215)</f>
        <v>5241.34200975108</v>
      </c>
    </row>
    <row r="25" customFormat="false" ht="15" hidden="false" customHeight="false" outlineLevel="0" collapsed="false">
      <c r="A25" s="59" t="s">
        <v>907</v>
      </c>
      <c r="B25" s="60" t="s">
        <v>908</v>
      </c>
      <c r="C25" s="81" t="n">
        <f aca="false">IF(C24=0,0,C21/C24)</f>
        <v>0.891250518425235</v>
      </c>
      <c r="D25" s="81" t="n">
        <f aca="false">IF(D24=0,0,D21/D24)</f>
        <v>0.814165979617015</v>
      </c>
      <c r="E25" s="81" t="n">
        <f aca="false">IF(E24=0,0,E21/E24)</f>
        <v>0.814536543458015</v>
      </c>
      <c r="F25" s="81" t="n">
        <f aca="false">IF(F24=0,0,F21/F24)</f>
        <v>0.807026923383707</v>
      </c>
      <c r="G25" s="81" t="n">
        <f aca="false">IF(G24=0,0,G21/G24)</f>
        <v>0.883534579749206</v>
      </c>
      <c r="H25" s="81" t="n">
        <f aca="false">IF(H24=0,0,H21/H24)</f>
        <v>0.895207845294596</v>
      </c>
      <c r="I25" s="81" t="n">
        <f aca="false">IF(I24=0,0,I21/I24)</f>
        <v>0.907772777132533</v>
      </c>
      <c r="J25" s="81" t="n">
        <f aca="false">IF(J24=0,0,J21/J24)</f>
        <v>0.89054428226484</v>
      </c>
      <c r="K25" s="81" t="n">
        <f aca="false">IF(K24=0,0,K21/K24)</f>
        <v>0.984569273514586</v>
      </c>
      <c r="L25" s="81" t="n">
        <f aca="false">IF(L24=0,0,L21/L24)</f>
        <v>0.956967835055707</v>
      </c>
      <c r="M25" s="81" t="n">
        <f aca="false">IF(M24=0,0,M21/M24)</f>
        <v>0.946224005024392</v>
      </c>
      <c r="N25" s="81" t="n">
        <f aca="false">IF(N24=0,0,N21/N24)</f>
        <v>0.846826912799911</v>
      </c>
      <c r="O25" s="81" t="n">
        <f aca="false">IF(O24=0,0,O21/O24)</f>
        <v>0.950506000379139</v>
      </c>
      <c r="P25" s="81" t="n">
        <f aca="false">IF(P24=0,0,P21/P24)</f>
        <v>0.844038705086206</v>
      </c>
      <c r="Q25" s="81" t="n">
        <f aca="false">IF(Q24=0,0,Q21/Q24)</f>
        <v>0.85128121691386</v>
      </c>
      <c r="R25" s="81" t="n">
        <f aca="false">IF(R24=0,0,R21/R24)</f>
        <v>0.858733783940534</v>
      </c>
      <c r="S25" s="81" t="n">
        <f aca="false">IF(S24=0,0,S21/S24)</f>
        <v>0.80260891831699</v>
      </c>
      <c r="T25" s="81" t="n">
        <f aca="false">IF(T24=0,0,T21/T24)</f>
        <v>0.823400325317093</v>
      </c>
      <c r="U25" s="81" t="n">
        <f aca="false">IF(U24=0,0,U21/U24)</f>
        <v>0.792460040749685</v>
      </c>
      <c r="V25" s="81" t="n">
        <f aca="false">IF(V24=0,0,V21/V24)</f>
        <v>0.789233956177672</v>
      </c>
      <c r="W25" s="81" t="n">
        <f aca="false">IF(W24=0,0,W21/W24)</f>
        <v>0.822076246296033</v>
      </c>
      <c r="X25" s="81" t="n">
        <f aca="false">IF(X24=0,0,X21/X24)</f>
        <v>0.854762702465612</v>
      </c>
      <c r="Y25" s="81" t="n">
        <f aca="false">IF(Y24=0,0,Y21/Y24)</f>
        <v>0.825736561926586</v>
      </c>
      <c r="Z25" s="81" t="n">
        <f aca="false">IF(Z24=0,0,Z21/Z24)</f>
        <v>0.795425422971701</v>
      </c>
      <c r="AA25" s="81" t="n">
        <f aca="false">IF(AA24=0,0,AA21/AA24)</f>
        <v>0.781975318001294</v>
      </c>
      <c r="AB25" s="81" t="n">
        <f aca="false">IF(AB24=0,0,AB21/AB24)</f>
        <v>0.783174552384366</v>
      </c>
    </row>
    <row r="26" customFormat="false" ht="15" hidden="false" customHeight="false" outlineLevel="0" collapsed="false">
      <c r="A26" s="27" t="s">
        <v>909</v>
      </c>
      <c r="B26" s="63" t="s">
        <v>910</v>
      </c>
      <c r="C26" s="65" t="n">
        <f aca="false">AVERAGE(E26:P26)</f>
        <v>0.923188570405144</v>
      </c>
      <c r="D26" s="65" t="n">
        <f aca="false">AVERAGE(Q26:AB26)</f>
        <v>0.972075846594595</v>
      </c>
      <c r="E26" s="64" t="n">
        <f aca="false">IF(E$5="A",Inputs_Actuals!E112,MIN(Assumptions!$C$113,Assumptions!$C$113-Assumptions!$C$115*MAX(0,E25-Assumptions!$C$114)))</f>
        <v>0.9734</v>
      </c>
      <c r="F26" s="64" t="n">
        <f aca="false">IF(F$5="A",Inputs_Actuals!F112,MIN(Assumptions!$C$113,Assumptions!$C$113-Assumptions!$C$115*MAX(0,F25-Assumptions!$C$114)))</f>
        <v>0.9803</v>
      </c>
      <c r="G26" s="64" t="n">
        <f aca="false">IF(G$5="A",Inputs_Actuals!G112,MIN(Assumptions!$C$113,Assumptions!$C$113-Assumptions!$C$115*MAX(0,G25-Assumptions!$C$114)))</f>
        <v>0.9318</v>
      </c>
      <c r="H26" s="64" t="n">
        <f aca="false">IF(H$5="A",Inputs_Actuals!H112,MIN(Assumptions!$C$113,Assumptions!$C$113-Assumptions!$C$115*MAX(0,H25-Assumptions!$C$114)))</f>
        <v>0.9181</v>
      </c>
      <c r="I26" s="64" t="n">
        <f aca="false">IF(I$5="A",Inputs_Actuals!I112,MIN(Assumptions!$C$113,Assumptions!$C$113-Assumptions!$C$115*MAX(0,I25-Assumptions!$C$114)))</f>
        <v>0.9122</v>
      </c>
      <c r="J26" s="64" t="n">
        <f aca="false">IF(J$5="A",Inputs_Actuals!J112,MIN(Assumptions!$C$113,Assumptions!$C$113-Assumptions!$C$115*MAX(0,J25-Assumptions!$C$114)))</f>
        <v>0.9265</v>
      </c>
      <c r="K26" s="64" t="n">
        <f aca="false">IF(K$5="A",Inputs_Actuals!K112,MIN(Assumptions!$C$113,Assumptions!$C$113-Assumptions!$C$115*MAX(0,K25-Assumptions!$C$114)))</f>
        <v>0.8639</v>
      </c>
      <c r="L26" s="64" t="n">
        <f aca="false">IF(L$5="A",Inputs_Actuals!L112,MIN(Assumptions!$C$113,Assumptions!$C$113-Assumptions!$C$115*MAX(0,L25-Assumptions!$C$114)))</f>
        <v>0.884</v>
      </c>
      <c r="M26" s="64" t="n">
        <f aca="false">IF(M$5="A",Inputs_Actuals!M112,MIN(Assumptions!$C$113,Assumptions!$C$113-Assumptions!$C$115*MAX(0,M25-Assumptions!$C$114)))</f>
        <v>0.889954396734146</v>
      </c>
      <c r="N26" s="64" t="n">
        <f aca="false">IF(N$5="A",Inputs_Actuals!N112,MIN(Assumptions!$C$113,Assumptions!$C$113-Assumptions!$C$115*MAX(0,N25-Assumptions!$C$114)))</f>
        <v>0.954562506680058</v>
      </c>
      <c r="O26" s="64" t="n">
        <f aca="false">IF(O$5="A",Inputs_Actuals!O112,MIN(Assumptions!$C$113,Assumptions!$C$113-Assumptions!$C$115*MAX(0,O25-Assumptions!$C$114)))</f>
        <v>0.88717109975356</v>
      </c>
      <c r="P26" s="64" t="n">
        <f aca="false">IF(P$5="A",Inputs_Actuals!P112,MIN(Assumptions!$C$113,Assumptions!$C$113-Assumptions!$C$115*MAX(0,P25-Assumptions!$C$114)))</f>
        <v>0.956374841693966</v>
      </c>
      <c r="Q26" s="64" t="n">
        <f aca="false">IF(Q$5="A",Inputs_Actuals!Q112,MIN(Assumptions!$C$113,Assumptions!$C$113-Assumptions!$C$115*MAX(0,Q25-Assumptions!$C$114)))</f>
        <v>0.951667209005991</v>
      </c>
      <c r="R26" s="64" t="n">
        <f aca="false">IF(R$5="A",Inputs_Actuals!R112,MIN(Assumptions!$C$113,Assumptions!$C$113-Assumptions!$C$115*MAX(0,R25-Assumptions!$C$114)))</f>
        <v>0.946823040438653</v>
      </c>
      <c r="S26" s="64" t="n">
        <f aca="false">IF(S$5="A",Inputs_Actuals!S112,MIN(Assumptions!$C$113,Assumptions!$C$113-Assumptions!$C$115*MAX(0,S25-Assumptions!$C$114)))</f>
        <v>0.983304203093956</v>
      </c>
      <c r="T26" s="64" t="n">
        <f aca="false">IF(T$5="A",Inputs_Actuals!T112,MIN(Assumptions!$C$113,Assumptions!$C$113-Assumptions!$C$115*MAX(0,T25-Assumptions!$C$114)))</f>
        <v>0.96978978854389</v>
      </c>
      <c r="U26" s="64" t="n">
        <f aca="false">IF(U$5="A",Inputs_Actuals!U112,MIN(Assumptions!$C$113,Assumptions!$C$113-Assumptions!$C$115*MAX(0,U25-Assumptions!$C$114)))</f>
        <v>0.985</v>
      </c>
      <c r="V26" s="64" t="n">
        <f aca="false">IF(V$5="A",Inputs_Actuals!V112,MIN(Assumptions!$C$113,Assumptions!$C$113-Assumptions!$C$115*MAX(0,V25-Assumptions!$C$114)))</f>
        <v>0.985</v>
      </c>
      <c r="W26" s="64" t="n">
        <f aca="false">IF(W$5="A",Inputs_Actuals!W112,MIN(Assumptions!$C$113,Assumptions!$C$113-Assumptions!$C$115*MAX(0,W25-Assumptions!$C$114)))</f>
        <v>0.970650439907579</v>
      </c>
      <c r="X26" s="64" t="n">
        <f aca="false">IF(X$5="A",Inputs_Actuals!X112,MIN(Assumptions!$C$113,Assumptions!$C$113-Assumptions!$C$115*MAX(0,X25-Assumptions!$C$114)))</f>
        <v>0.949404243397352</v>
      </c>
      <c r="Y26" s="64" t="n">
        <f aca="false">IF(Y$5="A",Inputs_Actuals!Y112,MIN(Assumptions!$C$113,Assumptions!$C$113-Assumptions!$C$115*MAX(0,Y25-Assumptions!$C$114)))</f>
        <v>0.968271234747719</v>
      </c>
      <c r="Z26" s="64" t="n">
        <f aca="false">IF(Z$5="A",Inputs_Actuals!Z112,MIN(Assumptions!$C$113,Assumptions!$C$113-Assumptions!$C$115*MAX(0,Z25-Assumptions!$C$114)))</f>
        <v>0.985</v>
      </c>
      <c r="AA26" s="64" t="n">
        <f aca="false">IF(AA$5="A",Inputs_Actuals!AA112,MIN(Assumptions!$C$113,Assumptions!$C$113-Assumptions!$C$115*MAX(0,AA25-Assumptions!$C$114)))</f>
        <v>0.985</v>
      </c>
      <c r="AB26" s="64" t="n">
        <f aca="false">IF(AB$5="A",Inputs_Actuals!AB112,MIN(Assumptions!$C$113,Assumptions!$C$113-Assumptions!$C$115*MAX(0,AB25-Assumptions!$C$114)))</f>
        <v>0.985</v>
      </c>
    </row>
    <row r="27" customFormat="false" ht="15" hidden="false" customHeight="false" outlineLevel="0" collapsed="false">
      <c r="A27" s="27" t="s">
        <v>911</v>
      </c>
      <c r="B27" s="63" t="s">
        <v>912</v>
      </c>
      <c r="C27" s="65" t="n">
        <f aca="false">AVERAGE(E27:P27)</f>
        <v>0.396197629281892</v>
      </c>
      <c r="D27" s="65" t="n">
        <f aca="false">AVERAGE(Q27:AB27)</f>
        <v>0.0267545892983367</v>
      </c>
      <c r="E27" s="64" t="n">
        <f aca="false">MAX(0,MIN(1,(Assumptions!$C$116-E26)/Assumptions!$C$117))</f>
        <v>0</v>
      </c>
      <c r="F27" s="64" t="n">
        <f aca="false">MAX(0,MIN(1,(Assumptions!$C$116-F26)/Assumptions!$C$117))</f>
        <v>0</v>
      </c>
      <c r="G27" s="64" t="n">
        <f aca="false">MAX(0,MIN(1,(Assumptions!$C$116-G26)/Assumptions!$C$117))</f>
        <v>0.282</v>
      </c>
      <c r="H27" s="64" t="n">
        <f aca="false">MAX(0,MIN(1,(Assumptions!$C$116-H26)/Assumptions!$C$117))</f>
        <v>0.418999999999999</v>
      </c>
      <c r="I27" s="64" t="n">
        <f aca="false">MAX(0,MIN(1,(Assumptions!$C$116-I26)/Assumptions!$C$117))</f>
        <v>0.478</v>
      </c>
      <c r="J27" s="64" t="n">
        <f aca="false">MAX(0,MIN(1,(Assumptions!$C$116-J26)/Assumptions!$C$117))</f>
        <v>0.335</v>
      </c>
      <c r="K27" s="64" t="n">
        <f aca="false">MAX(0,MIN(1,(Assumptions!$C$116-K26)/Assumptions!$C$117))</f>
        <v>0.961</v>
      </c>
      <c r="L27" s="64" t="n">
        <f aca="false">MAX(0,MIN(1,(Assumptions!$C$116-L26)/Assumptions!$C$117))</f>
        <v>0.76</v>
      </c>
      <c r="M27" s="64" t="n">
        <f aca="false">MAX(0,MIN(1,(Assumptions!$C$116-M26)/Assumptions!$C$117))</f>
        <v>0.700456032658544</v>
      </c>
      <c r="N27" s="64" t="n">
        <f aca="false">MAX(0,MIN(1,(Assumptions!$C$116-N26)/Assumptions!$C$117))</f>
        <v>0.0543749331994237</v>
      </c>
      <c r="O27" s="64" t="n">
        <f aca="false">MAX(0,MIN(1,(Assumptions!$C$116-O26)/Assumptions!$C$117))</f>
        <v>0.728289002464404</v>
      </c>
      <c r="P27" s="64" t="n">
        <f aca="false">MAX(0,MIN(1,(Assumptions!$C$116-P26)/Assumptions!$C$117))</f>
        <v>0.036251583060336</v>
      </c>
      <c r="Q27" s="64" t="n">
        <f aca="false">MAX(0,MIN(1,(Assumptions!$C$116-Q26)/Assumptions!$C$117))</f>
        <v>0.0833279099400919</v>
      </c>
      <c r="R27" s="64" t="n">
        <f aca="false">MAX(0,MIN(1,(Assumptions!$C$116-R26)/Assumptions!$C$117))</f>
        <v>0.13176959561347</v>
      </c>
      <c r="S27" s="64" t="n">
        <f aca="false">MAX(0,MIN(1,(Assumptions!$C$116-S26)/Assumptions!$C$117))</f>
        <v>0</v>
      </c>
      <c r="T27" s="64" t="n">
        <f aca="false">MAX(0,MIN(1,(Assumptions!$C$116-T26)/Assumptions!$C$117))</f>
        <v>0</v>
      </c>
      <c r="U27" s="64" t="n">
        <f aca="false">MAX(0,MIN(1,(Assumptions!$C$116-U26)/Assumptions!$C$117))</f>
        <v>0</v>
      </c>
      <c r="V27" s="64" t="n">
        <f aca="false">MAX(0,MIN(1,(Assumptions!$C$116-V26)/Assumptions!$C$117))</f>
        <v>0</v>
      </c>
      <c r="W27" s="64" t="n">
        <f aca="false">MAX(0,MIN(1,(Assumptions!$C$116-W26)/Assumptions!$C$117))</f>
        <v>0</v>
      </c>
      <c r="X27" s="64" t="n">
        <f aca="false">MAX(0,MIN(1,(Assumptions!$C$116-X26)/Assumptions!$C$117))</f>
        <v>0.105957566026479</v>
      </c>
      <c r="Y27" s="64" t="n">
        <f aca="false">MAX(0,MIN(1,(Assumptions!$C$116-Y26)/Assumptions!$C$117))</f>
        <v>0</v>
      </c>
      <c r="Z27" s="64" t="n">
        <f aca="false">MAX(0,MIN(1,(Assumptions!$C$116-Z26)/Assumptions!$C$117))</f>
        <v>0</v>
      </c>
      <c r="AA27" s="64" t="n">
        <f aca="false">MAX(0,MIN(1,(Assumptions!$C$116-AA26)/Assumptions!$C$117))</f>
        <v>0</v>
      </c>
      <c r="AB27" s="64" t="n">
        <f aca="false">MAX(0,MIN(1,(Assumptions!$C$116-AB26)/Assumptions!$C$117))</f>
        <v>0</v>
      </c>
    </row>
    <row r="28" customFormat="false" ht="15" hidden="false" customHeight="false" outlineLevel="0" collapsed="false">
      <c r="A28" s="59" t="s">
        <v>913</v>
      </c>
      <c r="B28" s="60" t="s">
        <v>914</v>
      </c>
      <c r="C28" s="61" t="n">
        <f aca="false">SUM(E28:P28)</f>
        <v>56251.0392045859</v>
      </c>
      <c r="D28" s="61" t="n">
        <f aca="false">SUM(Q28:AB28)</f>
        <v>4196.20014891111</v>
      </c>
      <c r="E28" s="62" t="n">
        <f aca="false">IF(E$5="A",Inputs_Actuals!E113,Contracts!E163*E27*Assumptions!$C$118)</f>
        <v>0</v>
      </c>
      <c r="F28" s="62" t="n">
        <f aca="false">IF(F$5="A",Inputs_Actuals!F113,Contracts!F163*F27*Assumptions!$C$118)</f>
        <v>0</v>
      </c>
      <c r="G28" s="62" t="n">
        <f aca="false">IF(G$5="A",Inputs_Actuals!G113,Contracts!G163*G27*Assumptions!$C$118)</f>
        <v>3235.73</v>
      </c>
      <c r="H28" s="62" t="n">
        <f aca="false">IF(H$5="A",Inputs_Actuals!H113,Contracts!H163*H27*Assumptions!$C$118)</f>
        <v>4841.71</v>
      </c>
      <c r="I28" s="62" t="n">
        <f aca="false">IF(I$5="A",Inputs_Actuals!I113,Contracts!I163*I27*Assumptions!$C$118)</f>
        <v>5441.04</v>
      </c>
      <c r="J28" s="62" t="n">
        <f aca="false">IF(J$5="A",Inputs_Actuals!J113,Contracts!J163*J27*Assumptions!$C$118)</f>
        <v>3820.12</v>
      </c>
      <c r="K28" s="62" t="n">
        <f aca="false">IF(K$5="A",Inputs_Actuals!K113,Contracts!K163*K27*Assumptions!$C$118)</f>
        <v>11314.01</v>
      </c>
      <c r="L28" s="62" t="n">
        <f aca="false">IF(L$5="A",Inputs_Actuals!L113,Contracts!L163*L27*Assumptions!$C$118)</f>
        <v>9000.4</v>
      </c>
      <c r="M28" s="62" t="n">
        <f aca="false">IF(M$5="A",Inputs_Actuals!M113,Contracts!M163*M27*Assumptions!$C$118)</f>
        <v>8319.27087221023</v>
      </c>
      <c r="N28" s="62" t="n">
        <f aca="false">IF(N$5="A",Inputs_Actuals!N113,Contracts!N163*N27*Assumptions!$C$118)</f>
        <v>645.366755552625</v>
      </c>
      <c r="O28" s="62" t="n">
        <f aca="false">IF(O$5="A",Inputs_Actuals!O113,Contracts!O163*O27*Assumptions!$C$118)</f>
        <v>9176.748081027</v>
      </c>
      <c r="P28" s="62" t="n">
        <f aca="false">IF(P$5="A",Inputs_Actuals!P113,Contracts!P163*P27*Assumptions!$C$118)</f>
        <v>456.643495796042</v>
      </c>
      <c r="Q28" s="62" t="n">
        <f aca="false">IF(Q$5="A",Inputs_Actuals!Q113,Contracts!Q163*Q27*Assumptions!$C$118)</f>
        <v>1068.31825609855</v>
      </c>
      <c r="R28" s="62" t="n">
        <f aca="false">IF(R$5="A",Inputs_Actuals!R113,Contracts!R163*R27*Assumptions!$C$118)</f>
        <v>1719.16870446923</v>
      </c>
      <c r="S28" s="62" t="n">
        <f aca="false">IF(S$5="A",Inputs_Actuals!S113,Contracts!S163*S27*Assumptions!$C$118)</f>
        <v>0</v>
      </c>
      <c r="T28" s="62" t="n">
        <f aca="false">IF(T$5="A",Inputs_Actuals!T113,Contracts!T163*T27*Assumptions!$C$118)</f>
        <v>0</v>
      </c>
      <c r="U28" s="62" t="n">
        <f aca="false">IF(U$5="A",Inputs_Actuals!U113,Contracts!U163*U27*Assumptions!$C$118)</f>
        <v>0</v>
      </c>
      <c r="V28" s="62" t="n">
        <f aca="false">IF(V$5="A",Inputs_Actuals!V113,Contracts!V163*V27*Assumptions!$C$118)</f>
        <v>0</v>
      </c>
      <c r="W28" s="62" t="n">
        <f aca="false">IF(W$5="A",Inputs_Actuals!W113,Contracts!W163*W27*Assumptions!$C$118)</f>
        <v>0</v>
      </c>
      <c r="X28" s="62" t="n">
        <f aca="false">IF(X$5="A",Inputs_Actuals!X113,Contracts!X163*X27*Assumptions!$C$118)</f>
        <v>1408.71318834332</v>
      </c>
      <c r="Y28" s="62" t="n">
        <f aca="false">IF(Y$5="A",Inputs_Actuals!Y113,Contracts!Y163*Y27*Assumptions!$C$118)</f>
        <v>0</v>
      </c>
      <c r="Z28" s="62" t="n">
        <f aca="false">IF(Z$5="A",Inputs_Actuals!Z113,Contracts!Z163*Z27*Assumptions!$C$118)</f>
        <v>0</v>
      </c>
      <c r="AA28" s="62" t="n">
        <f aca="false">IF(AA$5="A",Inputs_Actuals!AA113,Contracts!AA163*AA27*Assumptions!$C$118)</f>
        <v>0</v>
      </c>
      <c r="AB28" s="62" t="n">
        <f aca="false">IF(AB$5="A",Inputs_Actuals!AB113,Contracts!AB163*AB27*Assumptions!$C$118)</f>
        <v>0</v>
      </c>
    </row>
    <row r="29" customFormat="false" ht="15" hidden="false" customHeight="false" outlineLevel="0" collapsed="false">
      <c r="A29" s="27" t="s">
        <v>915</v>
      </c>
      <c r="B29" s="63"/>
      <c r="C29" s="66" t="n">
        <f aca="false">SUM(E29:P29)</f>
        <v>55794.3957087898</v>
      </c>
      <c r="D29" s="66" t="n">
        <f aca="false">SUM(Q29:AB29)</f>
        <v>4652.84364470715</v>
      </c>
      <c r="E29" s="67" t="n">
        <f aca="false">Inputs_Actuals!$C$300</f>
        <v>0</v>
      </c>
      <c r="F29" s="76" t="n">
        <f aca="false">E28</f>
        <v>0</v>
      </c>
      <c r="G29" s="76" t="n">
        <f aca="false">F28</f>
        <v>0</v>
      </c>
      <c r="H29" s="76" t="n">
        <f aca="false">G28</f>
        <v>3235.73</v>
      </c>
      <c r="I29" s="76" t="n">
        <f aca="false">H28</f>
        <v>4841.71</v>
      </c>
      <c r="J29" s="76" t="n">
        <f aca="false">I28</f>
        <v>5441.04</v>
      </c>
      <c r="K29" s="76" t="n">
        <f aca="false">J28</f>
        <v>3820.12</v>
      </c>
      <c r="L29" s="76" t="n">
        <f aca="false">K28</f>
        <v>11314.01</v>
      </c>
      <c r="M29" s="76" t="n">
        <f aca="false">L28</f>
        <v>9000.4</v>
      </c>
      <c r="N29" s="76" t="n">
        <f aca="false">M28</f>
        <v>8319.27087221023</v>
      </c>
      <c r="O29" s="76" t="n">
        <f aca="false">N28</f>
        <v>645.366755552625</v>
      </c>
      <c r="P29" s="76" t="n">
        <f aca="false">O28</f>
        <v>9176.748081027</v>
      </c>
      <c r="Q29" s="76" t="n">
        <f aca="false">P28</f>
        <v>456.643495796042</v>
      </c>
      <c r="R29" s="76" t="n">
        <f aca="false">Q28</f>
        <v>1068.31825609855</v>
      </c>
      <c r="S29" s="76" t="n">
        <f aca="false">R28</f>
        <v>1719.16870446923</v>
      </c>
      <c r="T29" s="76" t="n">
        <f aca="false">S28</f>
        <v>0</v>
      </c>
      <c r="U29" s="76" t="n">
        <f aca="false">T28</f>
        <v>0</v>
      </c>
      <c r="V29" s="76" t="n">
        <f aca="false">U28</f>
        <v>0</v>
      </c>
      <c r="W29" s="76" t="n">
        <f aca="false">V28</f>
        <v>0</v>
      </c>
      <c r="X29" s="76" t="n">
        <f aca="false">W28</f>
        <v>0</v>
      </c>
      <c r="Y29" s="76" t="n">
        <f aca="false">X28</f>
        <v>1408.71318834332</v>
      </c>
      <c r="Z29" s="76" t="n">
        <f aca="false">Y28</f>
        <v>0</v>
      </c>
      <c r="AA29" s="76" t="n">
        <f aca="false">Z28</f>
        <v>0</v>
      </c>
      <c r="AB29" s="76" t="n">
        <f aca="false">AA28</f>
        <v>0</v>
      </c>
    </row>
    <row r="30" customFormat="false" ht="15" hidden="false" customHeight="false" outlineLevel="0" collapsed="false">
      <c r="A30" s="59" t="s">
        <v>916</v>
      </c>
      <c r="B30" s="60" t="s">
        <v>917</v>
      </c>
      <c r="C30" s="61" t="n">
        <f aca="false">P30</f>
        <v>456.643495796048</v>
      </c>
      <c r="D30" s="61" t="n">
        <f aca="false">AB30</f>
        <v>6.3664629124105E-012</v>
      </c>
      <c r="E30" s="62" t="n">
        <f aca="false">Inputs_Actuals!$C$300+E28-E29</f>
        <v>0</v>
      </c>
      <c r="F30" s="61" t="n">
        <f aca="false">E30+F28-F29</f>
        <v>0</v>
      </c>
      <c r="G30" s="61" t="n">
        <f aca="false">F30+G28-G29</f>
        <v>3235.73</v>
      </c>
      <c r="H30" s="61" t="n">
        <f aca="false">G30+H28-H29</f>
        <v>4841.71</v>
      </c>
      <c r="I30" s="61" t="n">
        <f aca="false">H30+I28-I29</f>
        <v>5441.04</v>
      </c>
      <c r="J30" s="61" t="n">
        <f aca="false">I30+J28-J29</f>
        <v>3820.12</v>
      </c>
      <c r="K30" s="61" t="n">
        <f aca="false">J30+K28-K29</f>
        <v>11314.01</v>
      </c>
      <c r="L30" s="61" t="n">
        <f aca="false">K30+L28-L29</f>
        <v>9000.4</v>
      </c>
      <c r="M30" s="61" t="n">
        <f aca="false">L30+M28-M29</f>
        <v>8319.27087221023</v>
      </c>
      <c r="N30" s="61" t="n">
        <f aca="false">M30+N28-N29</f>
        <v>645.36675555263</v>
      </c>
      <c r="O30" s="61" t="n">
        <f aca="false">N30+O28-O29</f>
        <v>9176.748081027</v>
      </c>
      <c r="P30" s="61" t="n">
        <f aca="false">O30+P28-P29</f>
        <v>456.643495796048</v>
      </c>
      <c r="Q30" s="61" t="n">
        <f aca="false">P30+Q28-Q29</f>
        <v>1068.31825609856</v>
      </c>
      <c r="R30" s="61" t="n">
        <f aca="false">Q30+R28-R29</f>
        <v>1719.16870446924</v>
      </c>
      <c r="S30" s="61" t="n">
        <f aca="false">R30+S28-S29</f>
        <v>6.3664629124105E-012</v>
      </c>
      <c r="T30" s="61" t="n">
        <f aca="false">S30+T28-T29</f>
        <v>6.3664629124105E-012</v>
      </c>
      <c r="U30" s="61" t="n">
        <f aca="false">T30+U28-U29</f>
        <v>6.3664629124105E-012</v>
      </c>
      <c r="V30" s="61" t="n">
        <f aca="false">U30+V28-V29</f>
        <v>6.3664629124105E-012</v>
      </c>
      <c r="W30" s="61" t="n">
        <f aca="false">V30+W28-W29</f>
        <v>6.3664629124105E-012</v>
      </c>
      <c r="X30" s="61" t="n">
        <f aca="false">W30+X28-X29</f>
        <v>1408.71318834333</v>
      </c>
      <c r="Y30" s="61" t="n">
        <f aca="false">X30+Y28-Y29</f>
        <v>6.3664629124105E-012</v>
      </c>
      <c r="Z30" s="61" t="n">
        <f aca="false">Y30+Z28-Z29</f>
        <v>6.3664629124105E-012</v>
      </c>
      <c r="AA30" s="61" t="n">
        <f aca="false">Z30+AA28-AA29</f>
        <v>6.3664629124105E-012</v>
      </c>
      <c r="AB30" s="61" t="n">
        <f aca="false">AA30+AB28-AB29</f>
        <v>6.3664629124105E-012</v>
      </c>
    </row>
    <row r="31" customFormat="false" ht="15" hidden="false" customHeight="false" outlineLevel="0" collapsed="false">
      <c r="A31" s="27" t="s">
        <v>918</v>
      </c>
      <c r="B31" s="63"/>
      <c r="C31" s="66" t="n">
        <f aca="false">SUM(E31:P31)</f>
        <v>0</v>
      </c>
      <c r="D31" s="66" t="n">
        <f aca="false">SUM(Q31:AB31)</f>
        <v>0</v>
      </c>
      <c r="E31" s="76" t="n">
        <f aca="false">ROUND(E30-E28,2)</f>
        <v>0</v>
      </c>
      <c r="F31" s="76" t="n">
        <f aca="false">ROUND(F30-F28,2)</f>
        <v>0</v>
      </c>
      <c r="G31" s="76" t="n">
        <f aca="false">ROUND(G30-G28,2)</f>
        <v>0</v>
      </c>
      <c r="H31" s="76" t="n">
        <f aca="false">ROUND(H30-H28,2)</f>
        <v>0</v>
      </c>
      <c r="I31" s="76" t="n">
        <f aca="false">ROUND(I30-I28,2)</f>
        <v>0</v>
      </c>
      <c r="J31" s="76" t="n">
        <f aca="false">ROUND(J30-J28,2)</f>
        <v>0</v>
      </c>
      <c r="K31" s="76" t="n">
        <f aca="false">ROUND(K30-K28,2)</f>
        <v>0</v>
      </c>
      <c r="L31" s="76" t="n">
        <f aca="false">ROUND(L30-L28,2)</f>
        <v>0</v>
      </c>
      <c r="M31" s="76" t="n">
        <f aca="false">ROUND(M30-M28,2)</f>
        <v>0</v>
      </c>
      <c r="N31" s="76" t="n">
        <f aca="false">ROUND(N30-N28,2)</f>
        <v>0</v>
      </c>
      <c r="O31" s="76" t="n">
        <f aca="false">ROUND(O30-O28,2)</f>
        <v>0</v>
      </c>
      <c r="P31" s="76" t="n">
        <f aca="false">ROUND(P30-P28,2)</f>
        <v>0</v>
      </c>
      <c r="Q31" s="76" t="n">
        <f aca="false">ROUND(Q30-Q28,2)</f>
        <v>0</v>
      </c>
      <c r="R31" s="76" t="n">
        <f aca="false">ROUND(R30-R28,2)</f>
        <v>0</v>
      </c>
      <c r="S31" s="76" t="n">
        <f aca="false">ROUND(S30-S28,2)</f>
        <v>0</v>
      </c>
      <c r="T31" s="76" t="n">
        <f aca="false">ROUND(T30-T28,2)</f>
        <v>0</v>
      </c>
      <c r="U31" s="76" t="n">
        <f aca="false">ROUND(U30-U28,2)</f>
        <v>0</v>
      </c>
      <c r="V31" s="76" t="n">
        <f aca="false">ROUND(V30-V28,2)</f>
        <v>0</v>
      </c>
      <c r="W31" s="76" t="n">
        <f aca="false">ROUND(W30-W28,2)</f>
        <v>0</v>
      </c>
      <c r="X31" s="76" t="n">
        <f aca="false">ROUND(X30-X28,2)</f>
        <v>0</v>
      </c>
      <c r="Y31" s="76" t="n">
        <f aca="false">ROUND(Y30-Y28,2)</f>
        <v>0</v>
      </c>
      <c r="Z31" s="76" t="n">
        <f aca="false">ROUND(Z30-Z28,2)</f>
        <v>0</v>
      </c>
      <c r="AA31" s="76" t="n">
        <f aca="false">ROUND(AA30-AA28,2)</f>
        <v>0</v>
      </c>
      <c r="AB31" s="76" t="n">
        <f aca="false">ROUND(AB30-AB28,2)</f>
        <v>0</v>
      </c>
    </row>
    <row r="32" customFormat="false" ht="15" hidden="false" customHeight="false" outlineLevel="0" collapsed="false">
      <c r="A32" s="27" t="s">
        <v>919</v>
      </c>
      <c r="B32" s="63"/>
      <c r="C32" s="72" t="n">
        <f aca="false">IF(Contracts!C163=0,0,C28/Contracts!C163)</f>
        <v>0.0199906329681416</v>
      </c>
      <c r="D32" s="72" t="n">
        <f aca="false">IF(Contracts!D163=0,0,D28/Contracts!D163)</f>
        <v>0.00132224984287121</v>
      </c>
      <c r="E32" s="73" t="n">
        <f aca="false">IF(Contracts!E163=0,0,E28/Contracts!E163)</f>
        <v>0</v>
      </c>
      <c r="F32" s="73" t="n">
        <f aca="false">IF(Contracts!F163=0,0,F28/Contracts!F163)</f>
        <v>0</v>
      </c>
      <c r="G32" s="73" t="n">
        <f aca="false">IF(Contracts!G163=0,0,G28/Contracts!G163)</f>
        <v>0.0140774896471132</v>
      </c>
      <c r="H32" s="73" t="n">
        <f aca="false">IF(Contracts!H163=0,0,H28/Contracts!H163)</f>
        <v>0.0209490949769092</v>
      </c>
      <c r="I32" s="73" t="n">
        <f aca="false">IF(Contracts!I163=0,0,I28/Contracts!I163)</f>
        <v>0.0238864385336126</v>
      </c>
      <c r="J32" s="73" t="n">
        <f aca="false">IF(Contracts!J163=0,0,J28/Contracts!J163)</f>
        <v>0.0167314786706846</v>
      </c>
      <c r="K32" s="73" t="n">
        <f aca="false">IF(Contracts!K163=0,0,K28/Contracts!K163)</f>
        <v>0.0480640085942484</v>
      </c>
      <c r="L32" s="73" t="n">
        <f aca="false">IF(Contracts!L163=0,0,L28/Contracts!L163)</f>
        <v>0.0379772029606893</v>
      </c>
      <c r="M32" s="73" t="n">
        <f aca="false">IF(Contracts!M163=0,0,M28/Contracts!M163)</f>
        <v>0.0350228016329272</v>
      </c>
      <c r="N32" s="73" t="n">
        <f aca="false">IF(Contracts!N163=0,0,N28/Contracts!N163)</f>
        <v>0.00271874665997118</v>
      </c>
      <c r="O32" s="73" t="n">
        <f aca="false">IF(Contracts!O163=0,0,O28/Contracts!O163)</f>
        <v>0.0364144501232202</v>
      </c>
      <c r="P32" s="73" t="n">
        <f aca="false">IF(Contracts!P163=0,0,P28/Contracts!P163)</f>
        <v>0.0018125791530168</v>
      </c>
      <c r="Q32" s="73" t="n">
        <f aca="false">IF(Contracts!Q163=0,0,Q28/Contracts!Q163)</f>
        <v>0.00416639549700459</v>
      </c>
      <c r="R32" s="73" t="n">
        <f aca="false">IF(Contracts!R163=0,0,R28/Contracts!R163)</f>
        <v>0.00658847978067351</v>
      </c>
      <c r="S32" s="73" t="n">
        <f aca="false">IF(Contracts!S163=0,0,S28/Contracts!S163)</f>
        <v>0</v>
      </c>
      <c r="T32" s="73" t="n">
        <f aca="false">IF(Contracts!T163=0,0,T28/Contracts!T163)</f>
        <v>0</v>
      </c>
      <c r="U32" s="73" t="n">
        <f aca="false">IF(Contracts!U163=0,0,U28/Contracts!U163)</f>
        <v>0</v>
      </c>
      <c r="V32" s="73" t="n">
        <f aca="false">IF(Contracts!V163=0,0,V28/Contracts!V163)</f>
        <v>0</v>
      </c>
      <c r="W32" s="73" t="n">
        <f aca="false">IF(Contracts!W163=0,0,W28/Contracts!W163)</f>
        <v>0</v>
      </c>
      <c r="X32" s="73" t="n">
        <f aca="false">IF(Contracts!X163=0,0,X28/Contracts!X163)</f>
        <v>0.00529787830132395</v>
      </c>
      <c r="Y32" s="73" t="n">
        <f aca="false">IF(Contracts!Y163=0,0,Y28/Contracts!Y163)</f>
        <v>0</v>
      </c>
      <c r="Z32" s="73" t="n">
        <f aca="false">IF(Contracts!Z163=0,0,Z28/Contracts!Z163)</f>
        <v>0</v>
      </c>
      <c r="AA32" s="73" t="n">
        <f aca="false">IF(Contracts!AA163=0,0,AA28/Contracts!AA163)</f>
        <v>0</v>
      </c>
      <c r="AB32" s="73" t="n">
        <f aca="false">IF(Contracts!AB163=0,0,AB28/Contracts!AB163)</f>
        <v>0</v>
      </c>
    </row>
    <row r="33" customFormat="false" ht="15" hidden="false" customHeight="false" outlineLevel="0" collapsed="false">
      <c r="A33" s="21" t="s">
        <v>920</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row>
    <row r="34" customFormat="false" ht="15" hidden="false" customHeight="false" outlineLevel="0" collapsed="false">
      <c r="A34" s="27" t="s">
        <v>374</v>
      </c>
      <c r="B34" s="63"/>
      <c r="C34" s="74" t="n">
        <f aca="false">AVERAGE(E34:P34)</f>
        <v>48.7818041159166</v>
      </c>
      <c r="D34" s="74" t="n">
        <f aca="false">AVERAGE(Q34:AB34)</f>
        <v>45.1842869587101</v>
      </c>
      <c r="E34" s="86" t="n">
        <f aca="false">IF(E23=0,0,E11/E23)</f>
        <v>48.7948717948718</v>
      </c>
      <c r="F34" s="86" t="n">
        <f aca="false">IF(F23=0,0,F11/F23)</f>
        <v>46.948717948718</v>
      </c>
      <c r="G34" s="86" t="n">
        <f aca="false">IF(G23=0,0,G11/G23)</f>
        <v>49.3157894736842</v>
      </c>
      <c r="H34" s="86" t="n">
        <f aca="false">IF(H23=0,0,H11/H23)</f>
        <v>49.8378378378378</v>
      </c>
      <c r="I34" s="86" t="n">
        <f aca="false">IF(I23=0,0,I11/I23)</f>
        <v>49.6666666666667</v>
      </c>
      <c r="J34" s="86" t="n">
        <f aca="false">IF(J23=0,0,J11/J23)</f>
        <v>48.5555555555556</v>
      </c>
      <c r="K34" s="86" t="n">
        <f aca="false">IF(K23=0,0,K11/K23)</f>
        <v>48.4324324324324</v>
      </c>
      <c r="L34" s="86" t="n">
        <f aca="false">IF(L23=0,0,L11/L23)</f>
        <v>43.2702702702703</v>
      </c>
      <c r="M34" s="86" t="n">
        <f aca="false">IF(M23=0,0,M11/M23)</f>
        <v>55.2768896950914</v>
      </c>
      <c r="N34" s="86" t="n">
        <f aca="false">IF(N23=0,0,N11/N23)</f>
        <v>49.9979210064621</v>
      </c>
      <c r="O34" s="86" t="n">
        <f aca="false">IF(O23=0,0,O11/O23)</f>
        <v>49.8024707186241</v>
      </c>
      <c r="P34" s="86" t="n">
        <f aca="false">IF(P23=0,0,P11/P23)</f>
        <v>45.4822259907843</v>
      </c>
      <c r="Q34" s="86" t="n">
        <f aca="false">IF(Q23=0,0,Q11/Q23)</f>
        <v>49.6382073828304</v>
      </c>
      <c r="R34" s="86" t="n">
        <f aca="false">IF(R23=0,0,R11/R23)</f>
        <v>48.5511456126478</v>
      </c>
      <c r="S34" s="86" t="n">
        <f aca="false">IF(S23=0,0,S11/S23)</f>
        <v>46.1954553369934</v>
      </c>
      <c r="T34" s="86" t="n">
        <f aca="false">IF(T23=0,0,T11/T23)</f>
        <v>44.23037513058</v>
      </c>
      <c r="U34" s="86" t="n">
        <f aca="false">IF(U23=0,0,U11/U23)</f>
        <v>44.7590115417443</v>
      </c>
      <c r="V34" s="86" t="n">
        <f aca="false">IF(V23=0,0,V11/V23)</f>
        <v>42.996536757906</v>
      </c>
      <c r="W34" s="86" t="n">
        <f aca="false">IF(W23=0,0,W11/W23)</f>
        <v>42.6130082131298</v>
      </c>
      <c r="X34" s="86" t="n">
        <f aca="false">IF(X23=0,0,X11/X23)</f>
        <v>39.3112211391865</v>
      </c>
      <c r="Y34" s="86" t="n">
        <f aca="false">IF(Y23=0,0,Y11/Y23)</f>
        <v>48.3515971648965</v>
      </c>
      <c r="Z34" s="86" t="n">
        <f aca="false">IF(Z23=0,0,Z11/Z23)</f>
        <v>47.0794876400504</v>
      </c>
      <c r="AA34" s="86" t="n">
        <f aca="false">IF(AA23=0,0,AA11/AA23)</f>
        <v>46.2153082253514</v>
      </c>
      <c r="AB34" s="86" t="n">
        <f aca="false">IF(AB23=0,0,AB11/AB23)</f>
        <v>42.2700893592043</v>
      </c>
    </row>
    <row r="35" customFormat="false" ht="15" hidden="false" customHeight="false" outlineLevel="0" collapsed="false">
      <c r="A35" s="27" t="s">
        <v>921</v>
      </c>
      <c r="B35" s="63" t="s">
        <v>922</v>
      </c>
      <c r="C35" s="74" t="n">
        <f aca="false">AVERAGE(E35:P35)</f>
        <v>42.5003485205576</v>
      </c>
      <c r="D35" s="74" t="n">
        <f aca="false">AVERAGE(Q35:AB35)</f>
        <v>45.9578438106873</v>
      </c>
      <c r="E35" s="75" t="n">
        <f aca="false">IF((1-Assumptions!E$215)=0,0,E21/(Assumptions!$C$112*(1-Assumptions!E$215)*Assumptions!$C$114))</f>
        <v>39.7086564935782</v>
      </c>
      <c r="F35" s="75" t="n">
        <f aca="false">IF((1-Assumptions!F$215)=0,0,F21/(Assumptions!$C$112*(1-Assumptions!F$215)*Assumptions!$C$114))</f>
        <v>39.3425625149557</v>
      </c>
      <c r="G35" s="75" t="n">
        <f aca="false">IF((1-Assumptions!G$215)=0,0,G21/(Assumptions!$C$112*(1-Assumptions!G$215)*Assumptions!$C$114))</f>
        <v>41.9678925380873</v>
      </c>
      <c r="H35" s="75" t="n">
        <f aca="false">IF((1-Assumptions!H$215)=0,0,H21/(Assumptions!$C$112*(1-Assumptions!H$215)*Assumptions!$C$114))</f>
        <v>41.4033628448751</v>
      </c>
      <c r="I35" s="75" t="n">
        <f aca="false">IF((1-Assumptions!I$215)=0,0,I21/(Assumptions!$C$112*(1-Assumptions!I$215)*Assumptions!$C$114))</f>
        <v>40.849774970964</v>
      </c>
      <c r="J35" s="75" t="n">
        <f aca="false">IF((1-Assumptions!J$215)=0,0,J21/(Assumptions!$C$112*(1-Assumptions!J$215)*Assumptions!$C$114))</f>
        <v>40.0744927019178</v>
      </c>
      <c r="K35" s="75" t="n">
        <f aca="false">IF((1-Assumptions!K$215)=0,0,K21/(Assumptions!$C$112*(1-Assumptions!K$215)*Assumptions!$C$114))</f>
        <v>45.5363289000496</v>
      </c>
      <c r="L35" s="75" t="n">
        <f aca="false">IF((1-Assumptions!L$215)=0,0,L21/(Assumptions!$C$112*(1-Assumptions!L$215)*Assumptions!$C$114))</f>
        <v>44.2597623713264</v>
      </c>
      <c r="M35" s="75" t="n">
        <f aca="false">IF((1-Assumptions!M$215)=0,0,M21/(Assumptions!$C$112*(1-Assumptions!M$215)*Assumptions!$C$114))</f>
        <v>43.252293529667</v>
      </c>
      <c r="N35" s="75" t="n">
        <f aca="false">IF((1-Assumptions!N$215)=0,0,N21/(Assumptions!$C$112*(1-Assumptions!N$215)*Assumptions!$C$114))</f>
        <v>41.4328091562966</v>
      </c>
      <c r="O35" s="75" t="n">
        <f aca="false">IF((1-Assumptions!O$215)=0,0,O21/(Assumptions!$C$112*(1-Assumptions!O$215)*Assumptions!$C$114))</f>
        <v>48.8521068838887</v>
      </c>
      <c r="P35" s="75" t="n">
        <f aca="false">IF((1-Assumptions!P$215)=0,0,P21/(Assumptions!$C$112*(1-Assumptions!P$215)*Assumptions!$C$114))</f>
        <v>43.3241393410842</v>
      </c>
      <c r="Q35" s="75" t="n">
        <f aca="false">IF((1-Assumptions!Q$215)=0,0,Q21/(Assumptions!$C$112*(1-Assumptions!Q$215)*Assumptions!$C$114))</f>
        <v>45.8002372930083</v>
      </c>
      <c r="R35" s="75" t="n">
        <f aca="false">IF((1-Assumptions!R$215)=0,0,R21/(Assumptions!$C$112*(1-Assumptions!R$215)*Assumptions!$C$114))</f>
        <v>46.1770957878383</v>
      </c>
      <c r="S35" s="75" t="n">
        <f aca="false">IF((1-Assumptions!S$215)=0,0,S21/(Assumptions!$C$112*(1-Assumptions!S$215)*Assumptions!$C$114))</f>
        <v>44.1394439572459</v>
      </c>
      <c r="T35" s="75" t="n">
        <f aca="false">IF((1-Assumptions!T$215)=0,0,T21/(Assumptions!$C$112*(1-Assumptions!T$215)*Assumptions!$C$114))</f>
        <v>46.3006525102762</v>
      </c>
      <c r="U35" s="75" t="n">
        <f aca="false">IF((1-Assumptions!U$215)=0,0,U21/(Assumptions!$C$112*(1-Assumptions!U$215)*Assumptions!$C$114))</f>
        <v>44.5381271997483</v>
      </c>
      <c r="V35" s="75" t="n">
        <f aca="false">IF((1-Assumptions!V$215)=0,0,V21/(Assumptions!$C$112*(1-Assumptions!V$215)*Assumptions!$C$114))</f>
        <v>45.3322386073787</v>
      </c>
      <c r="W35" s="75" t="n">
        <f aca="false">IF((1-Assumptions!W$215)=0,0,W21/(Assumptions!$C$112*(1-Assumptions!W$215)*Assumptions!$C$114))</f>
        <v>47.2070646402534</v>
      </c>
      <c r="X35" s="75" t="n">
        <f aca="false">IF((1-Assumptions!X$215)=0,0,X21/(Assumptions!$C$112*(1-Assumptions!X$215)*Assumptions!$C$114))</f>
        <v>49.0718736295677</v>
      </c>
      <c r="Y35" s="75" t="n">
        <f aca="false">IF((1-Assumptions!Y$215)=0,0,Y21/(Assumptions!$C$112*(1-Assumptions!Y$215)*Assumptions!$C$114))</f>
        <v>47.4057577130145</v>
      </c>
      <c r="Z35" s="75" t="n">
        <f aca="false">IF((1-Assumptions!Z$215)=0,0,Z21/(Assumptions!$C$112*(1-Assumptions!Z$215)*Assumptions!$C$114))</f>
        <v>45.665716302382</v>
      </c>
      <c r="AA35" s="75" t="n">
        <f aca="false">IF((1-Assumptions!AA$215)=0,0,AA21/(Assumptions!$C$112*(1-Assumptions!AA$215)*Assumptions!$C$114))</f>
        <v>44.8935354817222</v>
      </c>
      <c r="AB35" s="75" t="n">
        <f aca="false">IF((1-Assumptions!AB$215)=0,0,AB21/(Assumptions!$C$112*(1-Assumptions!AB$215)*Assumptions!$C$114))</f>
        <v>44.9623826058116</v>
      </c>
    </row>
    <row r="36" customFormat="false" ht="15" hidden="false" customHeight="false" outlineLevel="0" collapsed="false">
      <c r="A36" s="27" t="s">
        <v>923</v>
      </c>
      <c r="B36" s="63"/>
      <c r="C36" s="74" t="n">
        <f aca="false">AVERAGE(E36:P36)</f>
        <v>4.42614817601216</v>
      </c>
      <c r="D36" s="74" t="n">
        <f aca="false">AVERAGE(Q36:AB36)</f>
        <v>0.830022558810032</v>
      </c>
      <c r="E36" s="86" t="n">
        <f aca="false">E35-E23</f>
        <v>0.708656493578211</v>
      </c>
      <c r="F36" s="86" t="n">
        <f aca="false">F35-F23</f>
        <v>0.342562514955731</v>
      </c>
      <c r="G36" s="86" t="n">
        <f aca="false">G35-G23</f>
        <v>3.96789253808726</v>
      </c>
      <c r="H36" s="86" t="n">
        <f aca="false">H35-H23</f>
        <v>4.40336284487507</v>
      </c>
      <c r="I36" s="86" t="n">
        <f aca="false">I35-I23</f>
        <v>4.84977497096399</v>
      </c>
      <c r="J36" s="86" t="n">
        <f aca="false">J35-J23</f>
        <v>4.07449270191778</v>
      </c>
      <c r="K36" s="86" t="n">
        <f aca="false">K35-K23</f>
        <v>8.5363289000496</v>
      </c>
      <c r="L36" s="86" t="n">
        <f aca="false">L35-L23</f>
        <v>7.25976237132642</v>
      </c>
      <c r="M36" s="86" t="n">
        <f aca="false">M35-M23</f>
        <v>6.6839601963337</v>
      </c>
      <c r="N36" s="86" t="n">
        <f aca="false">N35-N23</f>
        <v>2.29110637851881</v>
      </c>
      <c r="O36" s="86" t="n">
        <f aca="false">O35-O23</f>
        <v>7.73539063851834</v>
      </c>
      <c r="P36" s="86" t="n">
        <f aca="false">P35-P23</f>
        <v>2.26048756302097</v>
      </c>
      <c r="Q36" s="86" t="n">
        <f aca="false">Q35-Q23</f>
        <v>2.75900825328171</v>
      </c>
      <c r="R36" s="86" t="n">
        <f aca="false">R35-R23</f>
        <v>3.15831939737921</v>
      </c>
      <c r="S36" s="86" t="n">
        <f aca="false">S35-S23</f>
        <v>0.143477353931353</v>
      </c>
      <c r="T36" s="86" t="n">
        <f aca="false">T35-T23</f>
        <v>1.31582451187021</v>
      </c>
      <c r="U36" s="86" t="n">
        <f aca="false">U35-U23</f>
        <v>-0.423763529898331</v>
      </c>
      <c r="V36" s="86" t="n">
        <f aca="false">V35-V23</f>
        <v>-0.618383007460722</v>
      </c>
      <c r="W36" s="86" t="n">
        <f aca="false">W35-W23</f>
        <v>1.26771061760576</v>
      </c>
      <c r="X36" s="86" t="n">
        <f aca="false">X35-X23</f>
        <v>3.14392334533835</v>
      </c>
      <c r="Y36" s="86" t="n">
        <f aca="false">Y35-Y23</f>
        <v>1.47754292992809</v>
      </c>
      <c r="Z36" s="86" t="n">
        <f aca="false">Z35-Z23</f>
        <v>-0.262628438499284</v>
      </c>
      <c r="AA36" s="86" t="n">
        <f aca="false">AA35-AA23</f>
        <v>-1.03480465716483</v>
      </c>
      <c r="AB36" s="86" t="n">
        <f aca="false">AB35-AB23</f>
        <v>-0.965956070591133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7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924</v>
      </c>
    </row>
    <row r="3" customFormat="false" ht="15" hidden="false" customHeight="false" outlineLevel="0" collapsed="false">
      <c r="A3" s="50" t="s">
        <v>925</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926</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927</v>
      </c>
      <c r="B9" s="63"/>
      <c r="C9" s="66" t="n">
        <f aca="false">SUM(E9:P9)</f>
        <v>1975</v>
      </c>
      <c r="D9" s="66" t="n">
        <f aca="false">SUM(Q9:AB9)</f>
        <v>0</v>
      </c>
      <c r="E9" s="67" t="n">
        <f aca="false">IF(E$5="A",Inputs_Actuals!E124,IF(Assumptions!E$201&lt;Project_Register!$I$7,0,IF(Assumptions!E$201&gt;=Project_Register!$J$7,MAX(0,Project_Register!$U$7-Project_Register!$M$7),MAX(0,Project_Register!$U$7-Project_Register!$M$7)/(Project_Register!$J$7-Assumptions!E$201+1))))</f>
        <v>160</v>
      </c>
      <c r="F9" s="67" t="n">
        <f aca="false">IF(F$5="A",Inputs_Actuals!F124,IF(Assumptions!F$201&lt;Project_Register!$I$7,0,IF(Assumptions!F$201&gt;=Project_Register!$J$7,MAX(0,Project_Register!$U$7-E35),MAX(0,Project_Register!$U$7-E35)/(Project_Register!$J$7-Assumptions!F$201+1))))</f>
        <v>175</v>
      </c>
      <c r="G9" s="67" t="n">
        <f aca="false">IF(G$5="A",Inputs_Actuals!G124,IF(Assumptions!G$201&lt;Project_Register!$I$7,0,IF(Assumptions!G$201&gt;=Project_Register!$J$7,MAX(0,Project_Register!$U$7-F35),MAX(0,Project_Register!$U$7-F35)/(Project_Register!$J$7-Assumptions!G$201+1))))</f>
        <v>170</v>
      </c>
      <c r="H9" s="67" t="n">
        <f aca="false">IF(H$5="A",Inputs_Actuals!H124,IF(Assumptions!H$201&lt;Project_Register!$I$7,0,IF(Assumptions!H$201&gt;=Project_Register!$J$7,MAX(0,Project_Register!$U$7-G35),MAX(0,Project_Register!$U$7-G35)/(Project_Register!$J$7-Assumptions!H$201+1))))</f>
        <v>160</v>
      </c>
      <c r="I9" s="67" t="n">
        <f aca="false">IF(I$5="A",Inputs_Actuals!I124,IF(Assumptions!I$201&lt;Project_Register!$I$7,0,IF(Assumptions!I$201&gt;=Project_Register!$J$7,MAX(0,Project_Register!$U$7-H35),MAX(0,Project_Register!$U$7-H35)/(Project_Register!$J$7-Assumptions!I$201+1))))</f>
        <v>160</v>
      </c>
      <c r="J9" s="67" t="n">
        <f aca="false">IF(J$5="A",Inputs_Actuals!J124,IF(Assumptions!J$201&lt;Project_Register!$I$7,0,IF(Assumptions!J$201&gt;=Project_Register!$J$7,MAX(0,Project_Register!$U$7-I35),MAX(0,Project_Register!$U$7-I35)/(Project_Register!$J$7-Assumptions!J$201+1))))</f>
        <v>165</v>
      </c>
      <c r="K9" s="67" t="n">
        <f aca="false">IF(K$5="A",Inputs_Actuals!K124,IF(Assumptions!K$201&lt;Project_Register!$I$7,0,IF(Assumptions!K$201&gt;=Project_Register!$J$7,MAX(0,Project_Register!$U$7-J35),MAX(0,Project_Register!$U$7-J35)/(Project_Register!$J$7-Assumptions!K$201+1))))</f>
        <v>150</v>
      </c>
      <c r="L9" s="67" t="n">
        <f aca="false">IF(L$5="A",Inputs_Actuals!L124,IF(Assumptions!L$201&lt;Project_Register!$I$7,0,IF(Assumptions!L$201&gt;=Project_Register!$J$7,MAX(0,Project_Register!$U$7-K35),MAX(0,Project_Register!$U$7-K35)/(Project_Register!$J$7-Assumptions!L$201+1))))</f>
        <v>100</v>
      </c>
      <c r="M9" s="67" t="n">
        <f aca="false">IF(M$5="A",Inputs_Actuals!M124,IF(Assumptions!M$201&lt;Project_Register!$I$7,0,IF(Assumptions!M$201&gt;=Project_Register!$J$7,MAX(0,Project_Register!$U$7-L35),MAX(0,Project_Register!$U$7-L35)/(Project_Register!$J$7-Assumptions!M$201+1))))</f>
        <v>245</v>
      </c>
      <c r="N9" s="67" t="n">
        <f aca="false">IF(N$5="A",Inputs_Actuals!N124,IF(Assumptions!N$201&lt;Project_Register!$I$7,0,IF(Assumptions!N$201&gt;=Project_Register!$J$7,MAX(0,Project_Register!$U$7-M35),MAX(0,Project_Register!$U$7-M35)/(Project_Register!$J$7-Assumptions!N$201+1))))</f>
        <v>245</v>
      </c>
      <c r="O9" s="67" t="n">
        <f aca="false">IF(O$5="A",Inputs_Actuals!O124,IF(Assumptions!O$201&lt;Project_Register!$I$7,0,IF(Assumptions!O$201&gt;=Project_Register!$J$7,MAX(0,Project_Register!$U$7-N35),MAX(0,Project_Register!$U$7-N35)/(Project_Register!$J$7-Assumptions!O$201+1))))</f>
        <v>245</v>
      </c>
      <c r="P9" s="67" t="n">
        <f aca="false">IF(P$5="A",Inputs_Actuals!P124,IF(Assumptions!P$201&lt;Project_Register!$I$7,0,IF(Assumptions!P$201&gt;=Project_Register!$J$7,MAX(0,Project_Register!$U$7-O35),MAX(0,Project_Register!$U$7-O35)/(Project_Register!$J$7-Assumptions!P$201+1))))</f>
        <v>0</v>
      </c>
      <c r="Q9" s="67" t="n">
        <f aca="false">IF(Q$5="A",Inputs_Actuals!Q124,IF(Assumptions!Q$201&lt;Project_Register!$I$7,0,IF(Assumptions!Q$201&gt;=Project_Register!$J$7,MAX(0,Project_Register!$U$7-P35),MAX(0,Project_Register!$U$7-P35)/(Project_Register!$J$7-Assumptions!Q$201+1))))</f>
        <v>0</v>
      </c>
      <c r="R9" s="67" t="n">
        <f aca="false">IF(R$5="A",Inputs_Actuals!R124,IF(Assumptions!R$201&lt;Project_Register!$I$7,0,IF(Assumptions!R$201&gt;=Project_Register!$J$7,MAX(0,Project_Register!$U$7-Q35),MAX(0,Project_Register!$U$7-Q35)/(Project_Register!$J$7-Assumptions!R$201+1))))</f>
        <v>0</v>
      </c>
      <c r="S9" s="67" t="n">
        <f aca="false">IF(S$5="A",Inputs_Actuals!S124,IF(Assumptions!S$201&lt;Project_Register!$I$7,0,IF(Assumptions!S$201&gt;=Project_Register!$J$7,MAX(0,Project_Register!$U$7-R35),MAX(0,Project_Register!$U$7-R35)/(Project_Register!$J$7-Assumptions!S$201+1))))</f>
        <v>0</v>
      </c>
      <c r="T9" s="67" t="n">
        <f aca="false">IF(T$5="A",Inputs_Actuals!T124,IF(Assumptions!T$201&lt;Project_Register!$I$7,0,IF(Assumptions!T$201&gt;=Project_Register!$J$7,MAX(0,Project_Register!$U$7-S35),MAX(0,Project_Register!$U$7-S35)/(Project_Register!$J$7-Assumptions!T$201+1))))</f>
        <v>0</v>
      </c>
      <c r="U9" s="67" t="n">
        <f aca="false">IF(U$5="A",Inputs_Actuals!U124,IF(Assumptions!U$201&lt;Project_Register!$I$7,0,IF(Assumptions!U$201&gt;=Project_Register!$J$7,MAX(0,Project_Register!$U$7-T35),MAX(0,Project_Register!$U$7-T35)/(Project_Register!$J$7-Assumptions!U$201+1))))</f>
        <v>0</v>
      </c>
      <c r="V9" s="67" t="n">
        <f aca="false">IF(V$5="A",Inputs_Actuals!V124,IF(Assumptions!V$201&lt;Project_Register!$I$7,0,IF(Assumptions!V$201&gt;=Project_Register!$J$7,MAX(0,Project_Register!$U$7-U35),MAX(0,Project_Register!$U$7-U35)/(Project_Register!$J$7-Assumptions!V$201+1))))</f>
        <v>0</v>
      </c>
      <c r="W9" s="67" t="n">
        <f aca="false">IF(W$5="A",Inputs_Actuals!W124,IF(Assumptions!W$201&lt;Project_Register!$I$7,0,IF(Assumptions!W$201&gt;=Project_Register!$J$7,MAX(0,Project_Register!$U$7-V35),MAX(0,Project_Register!$U$7-V35)/(Project_Register!$J$7-Assumptions!W$201+1))))</f>
        <v>0</v>
      </c>
      <c r="X9" s="67" t="n">
        <f aca="false">IF(X$5="A",Inputs_Actuals!X124,IF(Assumptions!X$201&lt;Project_Register!$I$7,0,IF(Assumptions!X$201&gt;=Project_Register!$J$7,MAX(0,Project_Register!$U$7-W35),MAX(0,Project_Register!$U$7-W35)/(Project_Register!$J$7-Assumptions!X$201+1))))</f>
        <v>0</v>
      </c>
      <c r="Y9" s="67" t="n">
        <f aca="false">IF(Y$5="A",Inputs_Actuals!Y124,IF(Assumptions!Y$201&lt;Project_Register!$I$7,0,IF(Assumptions!Y$201&gt;=Project_Register!$J$7,MAX(0,Project_Register!$U$7-X35),MAX(0,Project_Register!$U$7-X35)/(Project_Register!$J$7-Assumptions!Y$201+1))))</f>
        <v>0</v>
      </c>
      <c r="Z9" s="67" t="n">
        <f aca="false">IF(Z$5="A",Inputs_Actuals!Z124,IF(Assumptions!Z$201&lt;Project_Register!$I$7,0,IF(Assumptions!Z$201&gt;=Project_Register!$J$7,MAX(0,Project_Register!$U$7-Y35),MAX(0,Project_Register!$U$7-Y35)/(Project_Register!$J$7-Assumptions!Z$201+1))))</f>
        <v>0</v>
      </c>
      <c r="AA9" s="67" t="n">
        <f aca="false">IF(AA$5="A",Inputs_Actuals!AA124,IF(Assumptions!AA$201&lt;Project_Register!$I$7,0,IF(Assumptions!AA$201&gt;=Project_Register!$J$7,MAX(0,Project_Register!$U$7-Z35),MAX(0,Project_Register!$U$7-Z35)/(Project_Register!$J$7-Assumptions!AA$201+1))))</f>
        <v>0</v>
      </c>
      <c r="AB9" s="67" t="n">
        <f aca="false">IF(AB$5="A",Inputs_Actuals!AB124,IF(Assumptions!AB$201&lt;Project_Register!$I$7,0,IF(Assumptions!AB$201&gt;=Project_Register!$J$7,MAX(0,Project_Register!$U$7-AA35),MAX(0,Project_Register!$U$7-AA35)/(Project_Register!$J$7-Assumptions!AB$201+1))))</f>
        <v>0</v>
      </c>
    </row>
    <row r="10" customFormat="false" ht="15" hidden="false" customHeight="false" outlineLevel="0" collapsed="false">
      <c r="A10" s="27" t="s">
        <v>928</v>
      </c>
      <c r="B10" s="63"/>
      <c r="C10" s="66" t="n">
        <f aca="false">SUM(E10:P10)</f>
        <v>780</v>
      </c>
      <c r="D10" s="66" t="n">
        <f aca="false">SUM(Q10:AB10)</f>
        <v>0</v>
      </c>
      <c r="E10" s="67" t="n">
        <f aca="false">IF(E$5="A",Inputs_Actuals!E126,IF(Assumptions!E$201&lt;Project_Register!$I$8,0,IF(Assumptions!E$201&gt;=Project_Register!$J$8,MAX(0,Project_Register!$U$8-Project_Register!$M$8),MAX(0,Project_Register!$U$8-Project_Register!$M$8)/(Project_Register!$J$8-Assumptions!E$201+1))))</f>
        <v>170</v>
      </c>
      <c r="F10" s="67" t="n">
        <f aca="false">IF(F$5="A",Inputs_Actuals!F126,IF(Assumptions!F$201&lt;Project_Register!$I$8,0,IF(Assumptions!F$201&gt;=Project_Register!$J$8,MAX(0,Project_Register!$U$8-E36),MAX(0,Project_Register!$U$8-E36)/(Project_Register!$J$8-Assumptions!F$201+1))))</f>
        <v>230</v>
      </c>
      <c r="G10" s="67" t="n">
        <f aca="false">IF(G$5="A",Inputs_Actuals!G126,IF(Assumptions!G$201&lt;Project_Register!$I$8,0,IF(Assumptions!G$201&gt;=Project_Register!$J$8,MAX(0,Project_Register!$U$8-F36),MAX(0,Project_Register!$U$8-F36)/(Project_Register!$J$8-Assumptions!G$201+1))))</f>
        <v>220</v>
      </c>
      <c r="H10" s="67" t="n">
        <f aca="false">IF(H$5="A",Inputs_Actuals!H126,IF(Assumptions!H$201&lt;Project_Register!$I$8,0,IF(Assumptions!H$201&gt;=Project_Register!$J$8,MAX(0,Project_Register!$U$8-G36),MAX(0,Project_Register!$U$8-G36)/(Project_Register!$J$8-Assumptions!H$201+1))))</f>
        <v>160</v>
      </c>
      <c r="I10" s="67" t="n">
        <f aca="false">IF(I$5="A",Inputs_Actuals!I126,IF(Assumptions!I$201&lt;Project_Register!$I$8,0,IF(Assumptions!I$201&gt;=Project_Register!$J$8,MAX(0,Project_Register!$U$8-H36),MAX(0,Project_Register!$U$8-H36)/(Project_Register!$J$8-Assumptions!I$201+1))))</f>
        <v>0</v>
      </c>
      <c r="J10" s="67" t="n">
        <f aca="false">IF(J$5="A",Inputs_Actuals!J126,IF(Assumptions!J$201&lt;Project_Register!$I$8,0,IF(Assumptions!J$201&gt;=Project_Register!$J$8,MAX(0,Project_Register!$U$8-I36),MAX(0,Project_Register!$U$8-I36)/(Project_Register!$J$8-Assumptions!J$201+1))))</f>
        <v>0</v>
      </c>
      <c r="K10" s="67" t="n">
        <f aca="false">IF(K$5="A",Inputs_Actuals!K126,IF(Assumptions!K$201&lt;Project_Register!$I$8,0,IF(Assumptions!K$201&gt;=Project_Register!$J$8,MAX(0,Project_Register!$U$8-J36),MAX(0,Project_Register!$U$8-J36)/(Project_Register!$J$8-Assumptions!K$201+1))))</f>
        <v>0</v>
      </c>
      <c r="L10" s="67" t="n">
        <f aca="false">IF(L$5="A",Inputs_Actuals!L126,IF(Assumptions!L$201&lt;Project_Register!$I$8,0,IF(Assumptions!L$201&gt;=Project_Register!$J$8,MAX(0,Project_Register!$U$8-K36),MAX(0,Project_Register!$U$8-K36)/(Project_Register!$J$8-Assumptions!L$201+1))))</f>
        <v>0</v>
      </c>
      <c r="M10" s="67" t="n">
        <f aca="false">IF(M$5="A",Inputs_Actuals!M126,IF(Assumptions!M$201&lt;Project_Register!$I$8,0,IF(Assumptions!M$201&gt;=Project_Register!$J$8,MAX(0,Project_Register!$U$8-L36),MAX(0,Project_Register!$U$8-L36)/(Project_Register!$J$8-Assumptions!M$201+1))))</f>
        <v>0</v>
      </c>
      <c r="N10" s="67" t="n">
        <f aca="false">IF(N$5="A",Inputs_Actuals!N126,IF(Assumptions!N$201&lt;Project_Register!$I$8,0,IF(Assumptions!N$201&gt;=Project_Register!$J$8,MAX(0,Project_Register!$U$8-M36),MAX(0,Project_Register!$U$8-M36)/(Project_Register!$J$8-Assumptions!N$201+1))))</f>
        <v>0</v>
      </c>
      <c r="O10" s="67" t="n">
        <f aca="false">IF(O$5="A",Inputs_Actuals!O126,IF(Assumptions!O$201&lt;Project_Register!$I$8,0,IF(Assumptions!O$201&gt;=Project_Register!$J$8,MAX(0,Project_Register!$U$8-N36),MAX(0,Project_Register!$U$8-N36)/(Project_Register!$J$8-Assumptions!O$201+1))))</f>
        <v>0</v>
      </c>
      <c r="P10" s="67" t="n">
        <f aca="false">IF(P$5="A",Inputs_Actuals!P126,IF(Assumptions!P$201&lt;Project_Register!$I$8,0,IF(Assumptions!P$201&gt;=Project_Register!$J$8,MAX(0,Project_Register!$U$8-O36),MAX(0,Project_Register!$U$8-O36)/(Project_Register!$J$8-Assumptions!P$201+1))))</f>
        <v>0</v>
      </c>
      <c r="Q10" s="67" t="n">
        <f aca="false">IF(Q$5="A",Inputs_Actuals!Q126,IF(Assumptions!Q$201&lt;Project_Register!$I$8,0,IF(Assumptions!Q$201&gt;=Project_Register!$J$8,MAX(0,Project_Register!$U$8-P36),MAX(0,Project_Register!$U$8-P36)/(Project_Register!$J$8-Assumptions!Q$201+1))))</f>
        <v>0</v>
      </c>
      <c r="R10" s="67" t="n">
        <f aca="false">IF(R$5="A",Inputs_Actuals!R126,IF(Assumptions!R$201&lt;Project_Register!$I$8,0,IF(Assumptions!R$201&gt;=Project_Register!$J$8,MAX(0,Project_Register!$U$8-Q36),MAX(0,Project_Register!$U$8-Q36)/(Project_Register!$J$8-Assumptions!R$201+1))))</f>
        <v>0</v>
      </c>
      <c r="S10" s="67" t="n">
        <f aca="false">IF(S$5="A",Inputs_Actuals!S126,IF(Assumptions!S$201&lt;Project_Register!$I$8,0,IF(Assumptions!S$201&gt;=Project_Register!$J$8,MAX(0,Project_Register!$U$8-R36),MAX(0,Project_Register!$U$8-R36)/(Project_Register!$J$8-Assumptions!S$201+1))))</f>
        <v>0</v>
      </c>
      <c r="T10" s="67" t="n">
        <f aca="false">IF(T$5="A",Inputs_Actuals!T126,IF(Assumptions!T$201&lt;Project_Register!$I$8,0,IF(Assumptions!T$201&gt;=Project_Register!$J$8,MAX(0,Project_Register!$U$8-S36),MAX(0,Project_Register!$U$8-S36)/(Project_Register!$J$8-Assumptions!T$201+1))))</f>
        <v>0</v>
      </c>
      <c r="U10" s="67" t="n">
        <f aca="false">IF(U$5="A",Inputs_Actuals!U126,IF(Assumptions!U$201&lt;Project_Register!$I$8,0,IF(Assumptions!U$201&gt;=Project_Register!$J$8,MAX(0,Project_Register!$U$8-T36),MAX(0,Project_Register!$U$8-T36)/(Project_Register!$J$8-Assumptions!U$201+1))))</f>
        <v>0</v>
      </c>
      <c r="V10" s="67" t="n">
        <f aca="false">IF(V$5="A",Inputs_Actuals!V126,IF(Assumptions!V$201&lt;Project_Register!$I$8,0,IF(Assumptions!V$201&gt;=Project_Register!$J$8,MAX(0,Project_Register!$U$8-U36),MAX(0,Project_Register!$U$8-U36)/(Project_Register!$J$8-Assumptions!V$201+1))))</f>
        <v>0</v>
      </c>
      <c r="W10" s="67" t="n">
        <f aca="false">IF(W$5="A",Inputs_Actuals!W126,IF(Assumptions!W$201&lt;Project_Register!$I$8,0,IF(Assumptions!W$201&gt;=Project_Register!$J$8,MAX(0,Project_Register!$U$8-V36),MAX(0,Project_Register!$U$8-V36)/(Project_Register!$J$8-Assumptions!W$201+1))))</f>
        <v>0</v>
      </c>
      <c r="X10" s="67" t="n">
        <f aca="false">IF(X$5="A",Inputs_Actuals!X126,IF(Assumptions!X$201&lt;Project_Register!$I$8,0,IF(Assumptions!X$201&gt;=Project_Register!$J$8,MAX(0,Project_Register!$U$8-W36),MAX(0,Project_Register!$U$8-W36)/(Project_Register!$J$8-Assumptions!X$201+1))))</f>
        <v>0</v>
      </c>
      <c r="Y10" s="67" t="n">
        <f aca="false">IF(Y$5="A",Inputs_Actuals!Y126,IF(Assumptions!Y$201&lt;Project_Register!$I$8,0,IF(Assumptions!Y$201&gt;=Project_Register!$J$8,MAX(0,Project_Register!$U$8-X36),MAX(0,Project_Register!$U$8-X36)/(Project_Register!$J$8-Assumptions!Y$201+1))))</f>
        <v>0</v>
      </c>
      <c r="Z10" s="67" t="n">
        <f aca="false">IF(Z$5="A",Inputs_Actuals!Z126,IF(Assumptions!Z$201&lt;Project_Register!$I$8,0,IF(Assumptions!Z$201&gt;=Project_Register!$J$8,MAX(0,Project_Register!$U$8-Y36),MAX(0,Project_Register!$U$8-Y36)/(Project_Register!$J$8-Assumptions!Z$201+1))))</f>
        <v>0</v>
      </c>
      <c r="AA10" s="67" t="n">
        <f aca="false">IF(AA$5="A",Inputs_Actuals!AA126,IF(Assumptions!AA$201&lt;Project_Register!$I$8,0,IF(Assumptions!AA$201&gt;=Project_Register!$J$8,MAX(0,Project_Register!$U$8-Z36),MAX(0,Project_Register!$U$8-Z36)/(Project_Register!$J$8-Assumptions!AA$201+1))))</f>
        <v>0</v>
      </c>
      <c r="AB10" s="67" t="n">
        <f aca="false">IF(AB$5="A",Inputs_Actuals!AB126,IF(Assumptions!AB$201&lt;Project_Register!$I$8,0,IF(Assumptions!AB$201&gt;=Project_Register!$J$8,MAX(0,Project_Register!$U$8-AA36),MAX(0,Project_Register!$U$8-AA36)/(Project_Register!$J$8-Assumptions!AB$201+1))))</f>
        <v>0</v>
      </c>
    </row>
    <row r="11" customFormat="false" ht="15" hidden="false" customHeight="false" outlineLevel="0" collapsed="false">
      <c r="A11" s="27" t="s">
        <v>929</v>
      </c>
      <c r="B11" s="63"/>
      <c r="C11" s="66" t="n">
        <f aca="false">SUM(E11:P11)</f>
        <v>640</v>
      </c>
      <c r="D11" s="66" t="n">
        <f aca="false">SUM(Q11:AB11)</f>
        <v>0</v>
      </c>
      <c r="E11" s="67" t="n">
        <f aca="false">IF(E$5="A",Inputs_Actuals!E128,IF(Assumptions!E$201&lt;Project_Register!$I$9,0,IF(Assumptions!E$201&gt;=Project_Register!$J$9,MAX(0,Project_Register!$U$9-Project_Register!$M$9),MAX(0,Project_Register!$U$9-Project_Register!$M$9)/(Project_Register!$J$9-Assumptions!E$201+1))))</f>
        <v>0</v>
      </c>
      <c r="F11" s="67" t="n">
        <f aca="false">IF(F$5="A",Inputs_Actuals!F128,IF(Assumptions!F$201&lt;Project_Register!$I$9,0,IF(Assumptions!F$201&gt;=Project_Register!$J$9,MAX(0,Project_Register!$U$9-E37),MAX(0,Project_Register!$U$9-E37)/(Project_Register!$J$9-Assumptions!F$201+1))))</f>
        <v>0</v>
      </c>
      <c r="G11" s="67" t="n">
        <f aca="false">IF(G$5="A",Inputs_Actuals!G128,IF(Assumptions!G$201&lt;Project_Register!$I$9,0,IF(Assumptions!G$201&gt;=Project_Register!$J$9,MAX(0,Project_Register!$U$9-F37),MAX(0,Project_Register!$U$9-F37)/(Project_Register!$J$9-Assumptions!G$201+1))))</f>
        <v>110</v>
      </c>
      <c r="H11" s="67" t="n">
        <f aca="false">IF(H$5="A",Inputs_Actuals!H128,IF(Assumptions!H$201&lt;Project_Register!$I$9,0,IF(Assumptions!H$201&gt;=Project_Register!$J$9,MAX(0,Project_Register!$U$9-G37),MAX(0,Project_Register!$U$9-G37)/(Project_Register!$J$9-Assumptions!H$201+1))))</f>
        <v>150</v>
      </c>
      <c r="I11" s="67" t="n">
        <f aca="false">IF(I$5="A",Inputs_Actuals!I128,IF(Assumptions!I$201&lt;Project_Register!$I$9,0,IF(Assumptions!I$201&gt;=Project_Register!$J$9,MAX(0,Project_Register!$U$9-H37),MAX(0,Project_Register!$U$9-H37)/(Project_Register!$J$9-Assumptions!I$201+1))))</f>
        <v>150</v>
      </c>
      <c r="J11" s="67" t="n">
        <f aca="false">IF(J$5="A",Inputs_Actuals!J128,IF(Assumptions!J$201&lt;Project_Register!$I$9,0,IF(Assumptions!J$201&gt;=Project_Register!$J$9,MAX(0,Project_Register!$U$9-I37),MAX(0,Project_Register!$U$9-I37)/(Project_Register!$J$9-Assumptions!J$201+1))))</f>
        <v>140</v>
      </c>
      <c r="K11" s="67" t="n">
        <f aca="false">IF(K$5="A",Inputs_Actuals!K128,IF(Assumptions!K$201&lt;Project_Register!$I$9,0,IF(Assumptions!K$201&gt;=Project_Register!$J$9,MAX(0,Project_Register!$U$9-J37),MAX(0,Project_Register!$U$9-J37)/(Project_Register!$J$9-Assumptions!K$201+1))))</f>
        <v>90</v>
      </c>
      <c r="L11" s="67" t="n">
        <f aca="false">IF(L$5="A",Inputs_Actuals!L128,IF(Assumptions!L$201&lt;Project_Register!$I$9,0,IF(Assumptions!L$201&gt;=Project_Register!$J$9,MAX(0,Project_Register!$U$9-K37),MAX(0,Project_Register!$U$9-K37)/(Project_Register!$J$9-Assumptions!L$201+1))))</f>
        <v>0</v>
      </c>
      <c r="M11" s="67" t="n">
        <f aca="false">IF(M$5="A",Inputs_Actuals!M128,IF(Assumptions!M$201&lt;Project_Register!$I$9,0,IF(Assumptions!M$201&gt;=Project_Register!$J$9,MAX(0,Project_Register!$U$9-L37),MAX(0,Project_Register!$U$9-L37)/(Project_Register!$J$9-Assumptions!M$201+1))))</f>
        <v>0</v>
      </c>
      <c r="N11" s="67" t="n">
        <f aca="false">IF(N$5="A",Inputs_Actuals!N128,IF(Assumptions!N$201&lt;Project_Register!$I$9,0,IF(Assumptions!N$201&gt;=Project_Register!$J$9,MAX(0,Project_Register!$U$9-M37),MAX(0,Project_Register!$U$9-M37)/(Project_Register!$J$9-Assumptions!N$201+1))))</f>
        <v>0</v>
      </c>
      <c r="O11" s="67" t="n">
        <f aca="false">IF(O$5="A",Inputs_Actuals!O128,IF(Assumptions!O$201&lt;Project_Register!$I$9,0,IF(Assumptions!O$201&gt;=Project_Register!$J$9,MAX(0,Project_Register!$U$9-N37),MAX(0,Project_Register!$U$9-N37)/(Project_Register!$J$9-Assumptions!O$201+1))))</f>
        <v>0</v>
      </c>
      <c r="P11" s="67" t="n">
        <f aca="false">IF(P$5="A",Inputs_Actuals!P128,IF(Assumptions!P$201&lt;Project_Register!$I$9,0,IF(Assumptions!P$201&gt;=Project_Register!$J$9,MAX(0,Project_Register!$U$9-O37),MAX(0,Project_Register!$U$9-O37)/(Project_Register!$J$9-Assumptions!P$201+1))))</f>
        <v>0</v>
      </c>
      <c r="Q11" s="67" t="n">
        <f aca="false">IF(Q$5="A",Inputs_Actuals!Q128,IF(Assumptions!Q$201&lt;Project_Register!$I$9,0,IF(Assumptions!Q$201&gt;=Project_Register!$J$9,MAX(0,Project_Register!$U$9-P37),MAX(0,Project_Register!$U$9-P37)/(Project_Register!$J$9-Assumptions!Q$201+1))))</f>
        <v>0</v>
      </c>
      <c r="R11" s="67" t="n">
        <f aca="false">IF(R$5="A",Inputs_Actuals!R128,IF(Assumptions!R$201&lt;Project_Register!$I$9,0,IF(Assumptions!R$201&gt;=Project_Register!$J$9,MAX(0,Project_Register!$U$9-Q37),MAX(0,Project_Register!$U$9-Q37)/(Project_Register!$J$9-Assumptions!R$201+1))))</f>
        <v>0</v>
      </c>
      <c r="S11" s="67" t="n">
        <f aca="false">IF(S$5="A",Inputs_Actuals!S128,IF(Assumptions!S$201&lt;Project_Register!$I$9,0,IF(Assumptions!S$201&gt;=Project_Register!$J$9,MAX(0,Project_Register!$U$9-R37),MAX(0,Project_Register!$U$9-R37)/(Project_Register!$J$9-Assumptions!S$201+1))))</f>
        <v>0</v>
      </c>
      <c r="T11" s="67" t="n">
        <f aca="false">IF(T$5="A",Inputs_Actuals!T128,IF(Assumptions!T$201&lt;Project_Register!$I$9,0,IF(Assumptions!T$201&gt;=Project_Register!$J$9,MAX(0,Project_Register!$U$9-S37),MAX(0,Project_Register!$U$9-S37)/(Project_Register!$J$9-Assumptions!T$201+1))))</f>
        <v>0</v>
      </c>
      <c r="U11" s="67" t="n">
        <f aca="false">IF(U$5="A",Inputs_Actuals!U128,IF(Assumptions!U$201&lt;Project_Register!$I$9,0,IF(Assumptions!U$201&gt;=Project_Register!$J$9,MAX(0,Project_Register!$U$9-T37),MAX(0,Project_Register!$U$9-T37)/(Project_Register!$J$9-Assumptions!U$201+1))))</f>
        <v>0</v>
      </c>
      <c r="V11" s="67" t="n">
        <f aca="false">IF(V$5="A",Inputs_Actuals!V128,IF(Assumptions!V$201&lt;Project_Register!$I$9,0,IF(Assumptions!V$201&gt;=Project_Register!$J$9,MAX(0,Project_Register!$U$9-U37),MAX(0,Project_Register!$U$9-U37)/(Project_Register!$J$9-Assumptions!V$201+1))))</f>
        <v>0</v>
      </c>
      <c r="W11" s="67" t="n">
        <f aca="false">IF(W$5="A",Inputs_Actuals!W128,IF(Assumptions!W$201&lt;Project_Register!$I$9,0,IF(Assumptions!W$201&gt;=Project_Register!$J$9,MAX(0,Project_Register!$U$9-V37),MAX(0,Project_Register!$U$9-V37)/(Project_Register!$J$9-Assumptions!W$201+1))))</f>
        <v>0</v>
      </c>
      <c r="X11" s="67" t="n">
        <f aca="false">IF(X$5="A",Inputs_Actuals!X128,IF(Assumptions!X$201&lt;Project_Register!$I$9,0,IF(Assumptions!X$201&gt;=Project_Register!$J$9,MAX(0,Project_Register!$U$9-W37),MAX(0,Project_Register!$U$9-W37)/(Project_Register!$J$9-Assumptions!X$201+1))))</f>
        <v>0</v>
      </c>
      <c r="Y11" s="67" t="n">
        <f aca="false">IF(Y$5="A",Inputs_Actuals!Y128,IF(Assumptions!Y$201&lt;Project_Register!$I$9,0,IF(Assumptions!Y$201&gt;=Project_Register!$J$9,MAX(0,Project_Register!$U$9-X37),MAX(0,Project_Register!$U$9-X37)/(Project_Register!$J$9-Assumptions!Y$201+1))))</f>
        <v>0</v>
      </c>
      <c r="Z11" s="67" t="n">
        <f aca="false">IF(Z$5="A",Inputs_Actuals!Z128,IF(Assumptions!Z$201&lt;Project_Register!$I$9,0,IF(Assumptions!Z$201&gt;=Project_Register!$J$9,MAX(0,Project_Register!$U$9-Y37),MAX(0,Project_Register!$U$9-Y37)/(Project_Register!$J$9-Assumptions!Z$201+1))))</f>
        <v>0</v>
      </c>
      <c r="AA11" s="67" t="n">
        <f aca="false">IF(AA$5="A",Inputs_Actuals!AA128,IF(Assumptions!AA$201&lt;Project_Register!$I$9,0,IF(Assumptions!AA$201&gt;=Project_Register!$J$9,MAX(0,Project_Register!$U$9-Z37),MAX(0,Project_Register!$U$9-Z37)/(Project_Register!$J$9-Assumptions!AA$201+1))))</f>
        <v>0</v>
      </c>
      <c r="AB11" s="67" t="n">
        <f aca="false">IF(AB$5="A",Inputs_Actuals!AB128,IF(Assumptions!AB$201&lt;Project_Register!$I$9,0,IF(Assumptions!AB$201&gt;=Project_Register!$J$9,MAX(0,Project_Register!$U$9-AA37),MAX(0,Project_Register!$U$9-AA37)/(Project_Register!$J$9-Assumptions!AB$201+1))))</f>
        <v>0</v>
      </c>
    </row>
    <row r="12" customFormat="false" ht="15" hidden="false" customHeight="false" outlineLevel="0" collapsed="false">
      <c r="A12" s="27" t="s">
        <v>930</v>
      </c>
      <c r="B12" s="63"/>
      <c r="C12" s="66" t="n">
        <f aca="false">SUM(E12:P12)</f>
        <v>880</v>
      </c>
      <c r="D12" s="66" t="n">
        <f aca="false">SUM(Q12:AB12)</f>
        <v>0</v>
      </c>
      <c r="E12" s="67" t="n">
        <f aca="false">IF(E$5="A",Inputs_Actuals!E130,IF(Assumptions!E$201&lt;Project_Register!$I$10,0,IF(Assumptions!E$201&gt;=Project_Register!$J$10,MAX(0,Project_Register!$U$10-Project_Register!$M$10),MAX(0,Project_Register!$U$10-Project_Register!$M$10)/(Project_Register!$J$10-Assumptions!E$201+1))))</f>
        <v>0</v>
      </c>
      <c r="F12" s="67" t="n">
        <f aca="false">IF(F$5="A",Inputs_Actuals!F130,IF(Assumptions!F$201&lt;Project_Register!$I$10,0,IF(Assumptions!F$201&gt;=Project_Register!$J$10,MAX(0,Project_Register!$U$10-E38),MAX(0,Project_Register!$U$10-E38)/(Project_Register!$J$10-Assumptions!F$201+1))))</f>
        <v>95</v>
      </c>
      <c r="G12" s="67" t="n">
        <f aca="false">IF(G$5="A",Inputs_Actuals!G130,IF(Assumptions!G$201&lt;Project_Register!$I$10,0,IF(Assumptions!G$201&gt;=Project_Register!$J$10,MAX(0,Project_Register!$U$10-F38),MAX(0,Project_Register!$U$10-F38)/(Project_Register!$J$10-Assumptions!G$201+1))))</f>
        <v>118</v>
      </c>
      <c r="H12" s="67" t="n">
        <f aca="false">IF(H$5="A",Inputs_Actuals!H130,IF(Assumptions!H$201&lt;Project_Register!$I$10,0,IF(Assumptions!H$201&gt;=Project_Register!$J$10,MAX(0,Project_Register!$U$10-G38),MAX(0,Project_Register!$U$10-G38)/(Project_Register!$J$10-Assumptions!H$201+1))))</f>
        <v>112</v>
      </c>
      <c r="I12" s="67" t="n">
        <f aca="false">IF(I$5="A",Inputs_Actuals!I130,IF(Assumptions!I$201&lt;Project_Register!$I$10,0,IF(Assumptions!I$201&gt;=Project_Register!$J$10,MAX(0,Project_Register!$U$10-H38),MAX(0,Project_Register!$U$10-H38)/(Project_Register!$J$10-Assumptions!I$201+1))))</f>
        <v>110</v>
      </c>
      <c r="J12" s="67" t="n">
        <f aca="false">IF(J$5="A",Inputs_Actuals!J130,IF(Assumptions!J$201&lt;Project_Register!$I$10,0,IF(Assumptions!J$201&gt;=Project_Register!$J$10,MAX(0,Project_Register!$U$10-I38),MAX(0,Project_Register!$U$10-I38)/(Project_Register!$J$10-Assumptions!J$201+1))))</f>
        <v>116</v>
      </c>
      <c r="K12" s="67" t="n">
        <f aca="false">IF(K$5="A",Inputs_Actuals!K130,IF(Assumptions!K$201&lt;Project_Register!$I$10,0,IF(Assumptions!K$201&gt;=Project_Register!$J$10,MAX(0,Project_Register!$U$10-J38),MAX(0,Project_Register!$U$10-J38)/(Project_Register!$J$10-Assumptions!K$201+1))))</f>
        <v>104</v>
      </c>
      <c r="L12" s="67" t="n">
        <f aca="false">IF(L$5="A",Inputs_Actuals!L130,IF(Assumptions!L$201&lt;Project_Register!$I$10,0,IF(Assumptions!L$201&gt;=Project_Register!$J$10,MAX(0,Project_Register!$U$10-K38),MAX(0,Project_Register!$U$10-K38)/(Project_Register!$J$10-Assumptions!L$201+1))))</f>
        <v>72</v>
      </c>
      <c r="M12" s="67" t="n">
        <f aca="false">IF(M$5="A",Inputs_Actuals!M130,IF(Assumptions!M$201&lt;Project_Register!$I$10,0,IF(Assumptions!M$201&gt;=Project_Register!$J$10,MAX(0,Project_Register!$U$10-L38),MAX(0,Project_Register!$U$10-L38)/(Project_Register!$J$10-Assumptions!M$201+1))))</f>
        <v>153</v>
      </c>
      <c r="N12" s="67" t="n">
        <f aca="false">IF(N$5="A",Inputs_Actuals!N130,IF(Assumptions!N$201&lt;Project_Register!$I$10,0,IF(Assumptions!N$201&gt;=Project_Register!$J$10,MAX(0,Project_Register!$U$10-M38),MAX(0,Project_Register!$U$10-M38)/(Project_Register!$J$10-Assumptions!N$201+1))))</f>
        <v>0</v>
      </c>
      <c r="O12" s="67" t="n">
        <f aca="false">IF(O$5="A",Inputs_Actuals!O130,IF(Assumptions!O$201&lt;Project_Register!$I$10,0,IF(Assumptions!O$201&gt;=Project_Register!$J$10,MAX(0,Project_Register!$U$10-N38),MAX(0,Project_Register!$U$10-N38)/(Project_Register!$J$10-Assumptions!O$201+1))))</f>
        <v>0</v>
      </c>
      <c r="P12" s="67" t="n">
        <f aca="false">IF(P$5="A",Inputs_Actuals!P130,IF(Assumptions!P$201&lt;Project_Register!$I$10,0,IF(Assumptions!P$201&gt;=Project_Register!$J$10,MAX(0,Project_Register!$U$10-O38),MAX(0,Project_Register!$U$10-O38)/(Project_Register!$J$10-Assumptions!P$201+1))))</f>
        <v>0</v>
      </c>
      <c r="Q12" s="67" t="n">
        <f aca="false">IF(Q$5="A",Inputs_Actuals!Q130,IF(Assumptions!Q$201&lt;Project_Register!$I$10,0,IF(Assumptions!Q$201&gt;=Project_Register!$J$10,MAX(0,Project_Register!$U$10-P38),MAX(0,Project_Register!$U$10-P38)/(Project_Register!$J$10-Assumptions!Q$201+1))))</f>
        <v>0</v>
      </c>
      <c r="R12" s="67" t="n">
        <f aca="false">IF(R$5="A",Inputs_Actuals!R130,IF(Assumptions!R$201&lt;Project_Register!$I$10,0,IF(Assumptions!R$201&gt;=Project_Register!$J$10,MAX(0,Project_Register!$U$10-Q38),MAX(0,Project_Register!$U$10-Q38)/(Project_Register!$J$10-Assumptions!R$201+1))))</f>
        <v>0</v>
      </c>
      <c r="S12" s="67" t="n">
        <f aca="false">IF(S$5="A",Inputs_Actuals!S130,IF(Assumptions!S$201&lt;Project_Register!$I$10,0,IF(Assumptions!S$201&gt;=Project_Register!$J$10,MAX(0,Project_Register!$U$10-R38),MAX(0,Project_Register!$U$10-R38)/(Project_Register!$J$10-Assumptions!S$201+1))))</f>
        <v>0</v>
      </c>
      <c r="T12" s="67" t="n">
        <f aca="false">IF(T$5="A",Inputs_Actuals!T130,IF(Assumptions!T$201&lt;Project_Register!$I$10,0,IF(Assumptions!T$201&gt;=Project_Register!$J$10,MAX(0,Project_Register!$U$10-S38),MAX(0,Project_Register!$U$10-S38)/(Project_Register!$J$10-Assumptions!T$201+1))))</f>
        <v>0</v>
      </c>
      <c r="U12" s="67" t="n">
        <f aca="false">IF(U$5="A",Inputs_Actuals!U130,IF(Assumptions!U$201&lt;Project_Register!$I$10,0,IF(Assumptions!U$201&gt;=Project_Register!$J$10,MAX(0,Project_Register!$U$10-T38),MAX(0,Project_Register!$U$10-T38)/(Project_Register!$J$10-Assumptions!U$201+1))))</f>
        <v>0</v>
      </c>
      <c r="V12" s="67" t="n">
        <f aca="false">IF(V$5="A",Inputs_Actuals!V130,IF(Assumptions!V$201&lt;Project_Register!$I$10,0,IF(Assumptions!V$201&gt;=Project_Register!$J$10,MAX(0,Project_Register!$U$10-U38),MAX(0,Project_Register!$U$10-U38)/(Project_Register!$J$10-Assumptions!V$201+1))))</f>
        <v>0</v>
      </c>
      <c r="W12" s="67" t="n">
        <f aca="false">IF(W$5="A",Inputs_Actuals!W130,IF(Assumptions!W$201&lt;Project_Register!$I$10,0,IF(Assumptions!W$201&gt;=Project_Register!$J$10,MAX(0,Project_Register!$U$10-V38),MAX(0,Project_Register!$U$10-V38)/(Project_Register!$J$10-Assumptions!W$201+1))))</f>
        <v>0</v>
      </c>
      <c r="X12" s="67" t="n">
        <f aca="false">IF(X$5="A",Inputs_Actuals!X130,IF(Assumptions!X$201&lt;Project_Register!$I$10,0,IF(Assumptions!X$201&gt;=Project_Register!$J$10,MAX(0,Project_Register!$U$10-W38),MAX(0,Project_Register!$U$10-W38)/(Project_Register!$J$10-Assumptions!X$201+1))))</f>
        <v>0</v>
      </c>
      <c r="Y12" s="67" t="n">
        <f aca="false">IF(Y$5="A",Inputs_Actuals!Y130,IF(Assumptions!Y$201&lt;Project_Register!$I$10,0,IF(Assumptions!Y$201&gt;=Project_Register!$J$10,MAX(0,Project_Register!$U$10-X38),MAX(0,Project_Register!$U$10-X38)/(Project_Register!$J$10-Assumptions!Y$201+1))))</f>
        <v>0</v>
      </c>
      <c r="Z12" s="67" t="n">
        <f aca="false">IF(Z$5="A",Inputs_Actuals!Z130,IF(Assumptions!Z$201&lt;Project_Register!$I$10,0,IF(Assumptions!Z$201&gt;=Project_Register!$J$10,MAX(0,Project_Register!$U$10-Y38),MAX(0,Project_Register!$U$10-Y38)/(Project_Register!$J$10-Assumptions!Z$201+1))))</f>
        <v>0</v>
      </c>
      <c r="AA12" s="67" t="n">
        <f aca="false">IF(AA$5="A",Inputs_Actuals!AA130,IF(Assumptions!AA$201&lt;Project_Register!$I$10,0,IF(Assumptions!AA$201&gt;=Project_Register!$J$10,MAX(0,Project_Register!$U$10-Z38),MAX(0,Project_Register!$U$10-Z38)/(Project_Register!$J$10-Assumptions!AA$201+1))))</f>
        <v>0</v>
      </c>
      <c r="AB12" s="67" t="n">
        <f aca="false">IF(AB$5="A",Inputs_Actuals!AB130,IF(Assumptions!AB$201&lt;Project_Register!$I$10,0,IF(Assumptions!AB$201&gt;=Project_Register!$J$10,MAX(0,Project_Register!$U$10-AA38),MAX(0,Project_Register!$U$10-AA38)/(Project_Register!$J$10-Assumptions!AB$201+1))))</f>
        <v>0</v>
      </c>
    </row>
    <row r="13" customFormat="false" ht="15" hidden="false" customHeight="false" outlineLevel="0" collapsed="false">
      <c r="A13" s="27" t="s">
        <v>931</v>
      </c>
      <c r="B13" s="63"/>
      <c r="C13" s="66" t="n">
        <f aca="false">SUM(E13:P13)</f>
        <v>1680</v>
      </c>
      <c r="D13" s="66" t="n">
        <f aca="false">SUM(Q13:AB13)</f>
        <v>0</v>
      </c>
      <c r="E13" s="67" t="n">
        <f aca="false">IF(E$5="A",Inputs_Actuals!E132,IF(Assumptions!E$201&lt;Project_Register!$I$11,0,IF(Assumptions!E$201&gt;=Project_Register!$J$11,MAX(0,Project_Register!$U$11-Project_Register!$M$11),MAX(0,Project_Register!$U$11-Project_Register!$M$11)/(Project_Register!$J$11-Assumptions!E$201+1))))</f>
        <v>132</v>
      </c>
      <c r="F13" s="67" t="n">
        <f aca="false">IF(F$5="A",Inputs_Actuals!F132,IF(Assumptions!F$201&lt;Project_Register!$I$11,0,IF(Assumptions!F$201&gt;=Project_Register!$J$11,MAX(0,Project_Register!$U$11-E39),MAX(0,Project_Register!$U$11-E39)/(Project_Register!$J$11-Assumptions!F$201+1))))</f>
        <v>140</v>
      </c>
      <c r="G13" s="67" t="n">
        <f aca="false">IF(G$5="A",Inputs_Actuals!G132,IF(Assumptions!G$201&lt;Project_Register!$I$11,0,IF(Assumptions!G$201&gt;=Project_Register!$J$11,MAX(0,Project_Register!$U$11-F39),MAX(0,Project_Register!$U$11-F39)/(Project_Register!$J$11-Assumptions!G$201+1))))</f>
        <v>146</v>
      </c>
      <c r="H13" s="67" t="n">
        <f aca="false">IF(H$5="A",Inputs_Actuals!H132,IF(Assumptions!H$201&lt;Project_Register!$I$11,0,IF(Assumptions!H$201&gt;=Project_Register!$J$11,MAX(0,Project_Register!$U$11-G39),MAX(0,Project_Register!$U$11-G39)/(Project_Register!$J$11-Assumptions!H$201+1))))</f>
        <v>138</v>
      </c>
      <c r="I13" s="67" t="n">
        <f aca="false">IF(I$5="A",Inputs_Actuals!I132,IF(Assumptions!I$201&lt;Project_Register!$I$11,0,IF(Assumptions!I$201&gt;=Project_Register!$J$11,MAX(0,Project_Register!$U$11-H39),MAX(0,Project_Register!$U$11-H39)/(Project_Register!$J$11-Assumptions!I$201+1))))</f>
        <v>142</v>
      </c>
      <c r="J13" s="67" t="n">
        <f aca="false">IF(J$5="A",Inputs_Actuals!J132,IF(Assumptions!J$201&lt;Project_Register!$I$11,0,IF(Assumptions!J$201&gt;=Project_Register!$J$11,MAX(0,Project_Register!$U$11-I39),MAX(0,Project_Register!$U$11-I39)/(Project_Register!$J$11-Assumptions!J$201+1))))</f>
        <v>144</v>
      </c>
      <c r="K13" s="67" t="n">
        <f aca="false">IF(K$5="A",Inputs_Actuals!K132,IF(Assumptions!K$201&lt;Project_Register!$I$11,0,IF(Assumptions!K$201&gt;=Project_Register!$J$11,MAX(0,Project_Register!$U$11-J39),MAX(0,Project_Register!$U$11-J39)/(Project_Register!$J$11-Assumptions!K$201+1))))</f>
        <v>136</v>
      </c>
      <c r="L13" s="67" t="n">
        <f aca="false">IF(L$5="A",Inputs_Actuals!L132,IF(Assumptions!L$201&lt;Project_Register!$I$11,0,IF(Assumptions!L$201&gt;=Project_Register!$J$11,MAX(0,Project_Register!$U$11-K39),MAX(0,Project_Register!$U$11-K39)/(Project_Register!$J$11-Assumptions!L$201+1))))</f>
        <v>96</v>
      </c>
      <c r="M13" s="67" t="n">
        <f aca="false">IF(M$5="A",Inputs_Actuals!M132,IF(Assumptions!M$201&lt;Project_Register!$I$11,0,IF(Assumptions!M$201&gt;=Project_Register!$J$11,MAX(0,Project_Register!$U$11-L39),MAX(0,Project_Register!$U$11-L39)/(Project_Register!$J$11-Assumptions!M$201+1))))</f>
        <v>151.5</v>
      </c>
      <c r="N13" s="67" t="n">
        <f aca="false">IF(N$5="A",Inputs_Actuals!N132,IF(Assumptions!N$201&lt;Project_Register!$I$11,0,IF(Assumptions!N$201&gt;=Project_Register!$J$11,MAX(0,Project_Register!$U$11-M39),MAX(0,Project_Register!$U$11-M39)/(Project_Register!$J$11-Assumptions!N$201+1))))</f>
        <v>151.5</v>
      </c>
      <c r="O13" s="67" t="n">
        <f aca="false">IF(O$5="A",Inputs_Actuals!O132,IF(Assumptions!O$201&lt;Project_Register!$I$11,0,IF(Assumptions!O$201&gt;=Project_Register!$J$11,MAX(0,Project_Register!$U$11-N39),MAX(0,Project_Register!$U$11-N39)/(Project_Register!$J$11-Assumptions!O$201+1))))</f>
        <v>151.5</v>
      </c>
      <c r="P13" s="67" t="n">
        <f aca="false">IF(P$5="A",Inputs_Actuals!P132,IF(Assumptions!P$201&lt;Project_Register!$I$11,0,IF(Assumptions!P$201&gt;=Project_Register!$J$11,MAX(0,Project_Register!$U$11-O39),MAX(0,Project_Register!$U$11-O39)/(Project_Register!$J$11-Assumptions!P$201+1))))</f>
        <v>151.5</v>
      </c>
      <c r="Q13" s="67" t="n">
        <f aca="false">IF(Q$5="A",Inputs_Actuals!Q132,IF(Assumptions!Q$201&lt;Project_Register!$I$11,0,IF(Assumptions!Q$201&gt;=Project_Register!$J$11,MAX(0,Project_Register!$U$11-P39),MAX(0,Project_Register!$U$11-P39)/(Project_Register!$J$11-Assumptions!Q$201+1))))</f>
        <v>0</v>
      </c>
      <c r="R13" s="67" t="n">
        <f aca="false">IF(R$5="A",Inputs_Actuals!R132,IF(Assumptions!R$201&lt;Project_Register!$I$11,0,IF(Assumptions!R$201&gt;=Project_Register!$J$11,MAX(0,Project_Register!$U$11-Q39),MAX(0,Project_Register!$U$11-Q39)/(Project_Register!$J$11-Assumptions!R$201+1))))</f>
        <v>0</v>
      </c>
      <c r="S13" s="67" t="n">
        <f aca="false">IF(S$5="A",Inputs_Actuals!S132,IF(Assumptions!S$201&lt;Project_Register!$I$11,0,IF(Assumptions!S$201&gt;=Project_Register!$J$11,MAX(0,Project_Register!$U$11-R39),MAX(0,Project_Register!$U$11-R39)/(Project_Register!$J$11-Assumptions!S$201+1))))</f>
        <v>0</v>
      </c>
      <c r="T13" s="67" t="n">
        <f aca="false">IF(T$5="A",Inputs_Actuals!T132,IF(Assumptions!T$201&lt;Project_Register!$I$11,0,IF(Assumptions!T$201&gt;=Project_Register!$J$11,MAX(0,Project_Register!$U$11-S39),MAX(0,Project_Register!$U$11-S39)/(Project_Register!$J$11-Assumptions!T$201+1))))</f>
        <v>0</v>
      </c>
      <c r="U13" s="67" t="n">
        <f aca="false">IF(U$5="A",Inputs_Actuals!U132,IF(Assumptions!U$201&lt;Project_Register!$I$11,0,IF(Assumptions!U$201&gt;=Project_Register!$J$11,MAX(0,Project_Register!$U$11-T39),MAX(0,Project_Register!$U$11-T39)/(Project_Register!$J$11-Assumptions!U$201+1))))</f>
        <v>0</v>
      </c>
      <c r="V13" s="67" t="n">
        <f aca="false">IF(V$5="A",Inputs_Actuals!V132,IF(Assumptions!V$201&lt;Project_Register!$I$11,0,IF(Assumptions!V$201&gt;=Project_Register!$J$11,MAX(0,Project_Register!$U$11-U39),MAX(0,Project_Register!$U$11-U39)/(Project_Register!$J$11-Assumptions!V$201+1))))</f>
        <v>0</v>
      </c>
      <c r="W13" s="67" t="n">
        <f aca="false">IF(W$5="A",Inputs_Actuals!W132,IF(Assumptions!W$201&lt;Project_Register!$I$11,0,IF(Assumptions!W$201&gt;=Project_Register!$J$11,MAX(0,Project_Register!$U$11-V39),MAX(0,Project_Register!$U$11-V39)/(Project_Register!$J$11-Assumptions!W$201+1))))</f>
        <v>0</v>
      </c>
      <c r="X13" s="67" t="n">
        <f aca="false">IF(X$5="A",Inputs_Actuals!X132,IF(Assumptions!X$201&lt;Project_Register!$I$11,0,IF(Assumptions!X$201&gt;=Project_Register!$J$11,MAX(0,Project_Register!$U$11-W39),MAX(0,Project_Register!$U$11-W39)/(Project_Register!$J$11-Assumptions!X$201+1))))</f>
        <v>0</v>
      </c>
      <c r="Y13" s="67" t="n">
        <f aca="false">IF(Y$5="A",Inputs_Actuals!Y132,IF(Assumptions!Y$201&lt;Project_Register!$I$11,0,IF(Assumptions!Y$201&gt;=Project_Register!$J$11,MAX(0,Project_Register!$U$11-X39),MAX(0,Project_Register!$U$11-X39)/(Project_Register!$J$11-Assumptions!Y$201+1))))</f>
        <v>0</v>
      </c>
      <c r="Z13" s="67" t="n">
        <f aca="false">IF(Z$5="A",Inputs_Actuals!Z132,IF(Assumptions!Z$201&lt;Project_Register!$I$11,0,IF(Assumptions!Z$201&gt;=Project_Register!$J$11,MAX(0,Project_Register!$U$11-Y39),MAX(0,Project_Register!$U$11-Y39)/(Project_Register!$J$11-Assumptions!Z$201+1))))</f>
        <v>0</v>
      </c>
      <c r="AA13" s="67" t="n">
        <f aca="false">IF(AA$5="A",Inputs_Actuals!AA132,IF(Assumptions!AA$201&lt;Project_Register!$I$11,0,IF(Assumptions!AA$201&gt;=Project_Register!$J$11,MAX(0,Project_Register!$U$11-Z39),MAX(0,Project_Register!$U$11-Z39)/(Project_Register!$J$11-Assumptions!AA$201+1))))</f>
        <v>0</v>
      </c>
      <c r="AB13" s="67" t="n">
        <f aca="false">IF(AB$5="A",Inputs_Actuals!AB132,IF(Assumptions!AB$201&lt;Project_Register!$I$11,0,IF(Assumptions!AB$201&gt;=Project_Register!$J$11,MAX(0,Project_Register!$U$11-AA39),MAX(0,Project_Register!$U$11-AA39)/(Project_Register!$J$11-Assumptions!AB$201+1))))</f>
        <v>0</v>
      </c>
    </row>
    <row r="14" customFormat="false" ht="15" hidden="false" customHeight="false" outlineLevel="0" collapsed="false">
      <c r="A14" s="27" t="s">
        <v>932</v>
      </c>
      <c r="B14" s="63"/>
      <c r="C14" s="66" t="n">
        <f aca="false">SUM(E14:P14)</f>
        <v>410</v>
      </c>
      <c r="D14" s="66" t="n">
        <f aca="false">SUM(Q14:AB14)</f>
        <v>0</v>
      </c>
      <c r="E14" s="67" t="n">
        <f aca="false">IF(E$5="A",Inputs_Actuals!E134,IF(Assumptions!E$201&lt;Project_Register!$I$12,0,IF(Assumptions!E$201&gt;=Project_Register!$J$12,MAX(0,Project_Register!$U$12-Project_Register!$M$12),MAX(0,Project_Register!$U$12-Project_Register!$M$12)/(Project_Register!$J$12-Assumptions!E$201+1))))</f>
        <v>0</v>
      </c>
      <c r="F14" s="67" t="n">
        <f aca="false">IF(F$5="A",Inputs_Actuals!F134,IF(Assumptions!F$201&lt;Project_Register!$I$12,0,IF(Assumptions!F$201&gt;=Project_Register!$J$12,MAX(0,Project_Register!$U$12-E40),MAX(0,Project_Register!$U$12-E40)/(Project_Register!$J$12-Assumptions!F$201+1))))</f>
        <v>0</v>
      </c>
      <c r="G14" s="67" t="n">
        <f aca="false">IF(G$5="A",Inputs_Actuals!G134,IF(Assumptions!G$201&lt;Project_Register!$I$12,0,IF(Assumptions!G$201&gt;=Project_Register!$J$12,MAX(0,Project_Register!$U$12-F40),MAX(0,Project_Register!$U$12-F40)/(Project_Register!$J$12-Assumptions!G$201+1))))</f>
        <v>120</v>
      </c>
      <c r="H14" s="67" t="n">
        <f aca="false">IF(H$5="A",Inputs_Actuals!H134,IF(Assumptions!H$201&lt;Project_Register!$I$12,0,IF(Assumptions!H$201&gt;=Project_Register!$J$12,MAX(0,Project_Register!$U$12-G40),MAX(0,Project_Register!$U$12-G40)/(Project_Register!$J$12-Assumptions!H$201+1))))</f>
        <v>160</v>
      </c>
      <c r="I14" s="67" t="n">
        <f aca="false">IF(I$5="A",Inputs_Actuals!I134,IF(Assumptions!I$201&lt;Project_Register!$I$12,0,IF(Assumptions!I$201&gt;=Project_Register!$J$12,MAX(0,Project_Register!$U$12-H40),MAX(0,Project_Register!$U$12-H40)/(Project_Register!$J$12-Assumptions!I$201+1))))</f>
        <v>130</v>
      </c>
      <c r="J14" s="67" t="n">
        <f aca="false">IF(J$5="A",Inputs_Actuals!J134,IF(Assumptions!J$201&lt;Project_Register!$I$12,0,IF(Assumptions!J$201&gt;=Project_Register!$J$12,MAX(0,Project_Register!$U$12-I40),MAX(0,Project_Register!$U$12-I40)/(Project_Register!$J$12-Assumptions!J$201+1))))</f>
        <v>0</v>
      </c>
      <c r="K14" s="67" t="n">
        <f aca="false">IF(K$5="A",Inputs_Actuals!K134,IF(Assumptions!K$201&lt;Project_Register!$I$12,0,IF(Assumptions!K$201&gt;=Project_Register!$J$12,MAX(0,Project_Register!$U$12-J40),MAX(0,Project_Register!$U$12-J40)/(Project_Register!$J$12-Assumptions!K$201+1))))</f>
        <v>0</v>
      </c>
      <c r="L14" s="67" t="n">
        <f aca="false">IF(L$5="A",Inputs_Actuals!L134,IF(Assumptions!L$201&lt;Project_Register!$I$12,0,IF(Assumptions!L$201&gt;=Project_Register!$J$12,MAX(0,Project_Register!$U$12-K40),MAX(0,Project_Register!$U$12-K40)/(Project_Register!$J$12-Assumptions!L$201+1))))</f>
        <v>0</v>
      </c>
      <c r="M14" s="67" t="n">
        <f aca="false">IF(M$5="A",Inputs_Actuals!M134,IF(Assumptions!M$201&lt;Project_Register!$I$12,0,IF(Assumptions!M$201&gt;=Project_Register!$J$12,MAX(0,Project_Register!$U$12-L40),MAX(0,Project_Register!$U$12-L40)/(Project_Register!$J$12-Assumptions!M$201+1))))</f>
        <v>0</v>
      </c>
      <c r="N14" s="67" t="n">
        <f aca="false">IF(N$5="A",Inputs_Actuals!N134,IF(Assumptions!N$201&lt;Project_Register!$I$12,0,IF(Assumptions!N$201&gt;=Project_Register!$J$12,MAX(0,Project_Register!$U$12-M40),MAX(0,Project_Register!$U$12-M40)/(Project_Register!$J$12-Assumptions!N$201+1))))</f>
        <v>0</v>
      </c>
      <c r="O14" s="67" t="n">
        <f aca="false">IF(O$5="A",Inputs_Actuals!O134,IF(Assumptions!O$201&lt;Project_Register!$I$12,0,IF(Assumptions!O$201&gt;=Project_Register!$J$12,MAX(0,Project_Register!$U$12-N40),MAX(0,Project_Register!$U$12-N40)/(Project_Register!$J$12-Assumptions!O$201+1))))</f>
        <v>0</v>
      </c>
      <c r="P14" s="67" t="n">
        <f aca="false">IF(P$5="A",Inputs_Actuals!P134,IF(Assumptions!P$201&lt;Project_Register!$I$12,0,IF(Assumptions!P$201&gt;=Project_Register!$J$12,MAX(0,Project_Register!$U$12-O40),MAX(0,Project_Register!$U$12-O40)/(Project_Register!$J$12-Assumptions!P$201+1))))</f>
        <v>0</v>
      </c>
      <c r="Q14" s="67" t="n">
        <f aca="false">IF(Q$5="A",Inputs_Actuals!Q134,IF(Assumptions!Q$201&lt;Project_Register!$I$12,0,IF(Assumptions!Q$201&gt;=Project_Register!$J$12,MAX(0,Project_Register!$U$12-P40),MAX(0,Project_Register!$U$12-P40)/(Project_Register!$J$12-Assumptions!Q$201+1))))</f>
        <v>0</v>
      </c>
      <c r="R14" s="67" t="n">
        <f aca="false">IF(R$5="A",Inputs_Actuals!R134,IF(Assumptions!R$201&lt;Project_Register!$I$12,0,IF(Assumptions!R$201&gt;=Project_Register!$J$12,MAX(0,Project_Register!$U$12-Q40),MAX(0,Project_Register!$U$12-Q40)/(Project_Register!$J$12-Assumptions!R$201+1))))</f>
        <v>0</v>
      </c>
      <c r="S14" s="67" t="n">
        <f aca="false">IF(S$5="A",Inputs_Actuals!S134,IF(Assumptions!S$201&lt;Project_Register!$I$12,0,IF(Assumptions!S$201&gt;=Project_Register!$J$12,MAX(0,Project_Register!$U$12-R40),MAX(0,Project_Register!$U$12-R40)/(Project_Register!$J$12-Assumptions!S$201+1))))</f>
        <v>0</v>
      </c>
      <c r="T14" s="67" t="n">
        <f aca="false">IF(T$5="A",Inputs_Actuals!T134,IF(Assumptions!T$201&lt;Project_Register!$I$12,0,IF(Assumptions!T$201&gt;=Project_Register!$J$12,MAX(0,Project_Register!$U$12-S40),MAX(0,Project_Register!$U$12-S40)/(Project_Register!$J$12-Assumptions!T$201+1))))</f>
        <v>0</v>
      </c>
      <c r="U14" s="67" t="n">
        <f aca="false">IF(U$5="A",Inputs_Actuals!U134,IF(Assumptions!U$201&lt;Project_Register!$I$12,0,IF(Assumptions!U$201&gt;=Project_Register!$J$12,MAX(0,Project_Register!$U$12-T40),MAX(0,Project_Register!$U$12-T40)/(Project_Register!$J$12-Assumptions!U$201+1))))</f>
        <v>0</v>
      </c>
      <c r="V14" s="67" t="n">
        <f aca="false">IF(V$5="A",Inputs_Actuals!V134,IF(Assumptions!V$201&lt;Project_Register!$I$12,0,IF(Assumptions!V$201&gt;=Project_Register!$J$12,MAX(0,Project_Register!$U$12-U40),MAX(0,Project_Register!$U$12-U40)/(Project_Register!$J$12-Assumptions!V$201+1))))</f>
        <v>0</v>
      </c>
      <c r="W14" s="67" t="n">
        <f aca="false">IF(W$5="A",Inputs_Actuals!W134,IF(Assumptions!W$201&lt;Project_Register!$I$12,0,IF(Assumptions!W$201&gt;=Project_Register!$J$12,MAX(0,Project_Register!$U$12-V40),MAX(0,Project_Register!$U$12-V40)/(Project_Register!$J$12-Assumptions!W$201+1))))</f>
        <v>0</v>
      </c>
      <c r="X14" s="67" t="n">
        <f aca="false">IF(X$5="A",Inputs_Actuals!X134,IF(Assumptions!X$201&lt;Project_Register!$I$12,0,IF(Assumptions!X$201&gt;=Project_Register!$J$12,MAX(0,Project_Register!$U$12-W40),MAX(0,Project_Register!$U$12-W40)/(Project_Register!$J$12-Assumptions!X$201+1))))</f>
        <v>0</v>
      </c>
      <c r="Y14" s="67" t="n">
        <f aca="false">IF(Y$5="A",Inputs_Actuals!Y134,IF(Assumptions!Y$201&lt;Project_Register!$I$12,0,IF(Assumptions!Y$201&gt;=Project_Register!$J$12,MAX(0,Project_Register!$U$12-X40),MAX(0,Project_Register!$U$12-X40)/(Project_Register!$J$12-Assumptions!Y$201+1))))</f>
        <v>0</v>
      </c>
      <c r="Z14" s="67" t="n">
        <f aca="false">IF(Z$5="A",Inputs_Actuals!Z134,IF(Assumptions!Z$201&lt;Project_Register!$I$12,0,IF(Assumptions!Z$201&gt;=Project_Register!$J$12,MAX(0,Project_Register!$U$12-Y40),MAX(0,Project_Register!$U$12-Y40)/(Project_Register!$J$12-Assumptions!Z$201+1))))</f>
        <v>0</v>
      </c>
      <c r="AA14" s="67" t="n">
        <f aca="false">IF(AA$5="A",Inputs_Actuals!AA134,IF(Assumptions!AA$201&lt;Project_Register!$I$12,0,IF(Assumptions!AA$201&gt;=Project_Register!$J$12,MAX(0,Project_Register!$U$12-Z40),MAX(0,Project_Register!$U$12-Z40)/(Project_Register!$J$12-Assumptions!AA$201+1))))</f>
        <v>0</v>
      </c>
      <c r="AB14" s="67" t="n">
        <f aca="false">IF(AB$5="A",Inputs_Actuals!AB134,IF(Assumptions!AB$201&lt;Project_Register!$I$12,0,IF(Assumptions!AB$201&gt;=Project_Register!$J$12,MAX(0,Project_Register!$U$12-AA40),MAX(0,Project_Register!$U$12-AA40)/(Project_Register!$J$12-Assumptions!AB$201+1))))</f>
        <v>0</v>
      </c>
    </row>
    <row r="15" customFormat="false" ht="15" hidden="false" customHeight="false" outlineLevel="0" collapsed="false">
      <c r="A15" s="27" t="s">
        <v>933</v>
      </c>
      <c r="B15" s="63"/>
      <c r="C15" s="66" t="n">
        <f aca="false">SUM(E15:P15)</f>
        <v>470</v>
      </c>
      <c r="D15" s="66" t="n">
        <f aca="false">SUM(Q15:AB15)</f>
        <v>0</v>
      </c>
      <c r="E15" s="67" t="n">
        <f aca="false">IF(E$5="A",Inputs_Actuals!E136,IF(Assumptions!E$201&lt;Project_Register!$I$13,0,IF(Assumptions!E$201&gt;=Project_Register!$J$13,MAX(0,Project_Register!$U$13-Project_Register!$M$13),MAX(0,Project_Register!$U$13-Project_Register!$M$13)/(Project_Register!$J$13-Assumptions!E$201+1))))</f>
        <v>0</v>
      </c>
      <c r="F15" s="67" t="n">
        <f aca="false">IF(F$5="A",Inputs_Actuals!F136,IF(Assumptions!F$201&lt;Project_Register!$I$13,0,IF(Assumptions!F$201&gt;=Project_Register!$J$13,MAX(0,Project_Register!$U$13-E41),MAX(0,Project_Register!$U$13-E41)/(Project_Register!$J$13-Assumptions!F$201+1))))</f>
        <v>0</v>
      </c>
      <c r="G15" s="67" t="n">
        <f aca="false">IF(G$5="A",Inputs_Actuals!G136,IF(Assumptions!G$201&lt;Project_Register!$I$13,0,IF(Assumptions!G$201&gt;=Project_Register!$J$13,MAX(0,Project_Register!$U$13-F41),MAX(0,Project_Register!$U$13-F41)/(Project_Register!$J$13-Assumptions!G$201+1))))</f>
        <v>0</v>
      </c>
      <c r="H15" s="67" t="n">
        <f aca="false">IF(H$5="A",Inputs_Actuals!H136,IF(Assumptions!H$201&lt;Project_Register!$I$13,0,IF(Assumptions!H$201&gt;=Project_Register!$J$13,MAX(0,Project_Register!$U$13-G41),MAX(0,Project_Register!$U$13-G41)/(Project_Register!$J$13-Assumptions!H$201+1))))</f>
        <v>0</v>
      </c>
      <c r="I15" s="67" t="n">
        <f aca="false">IF(I$5="A",Inputs_Actuals!I136,IF(Assumptions!I$201&lt;Project_Register!$I$13,0,IF(Assumptions!I$201&gt;=Project_Register!$J$13,MAX(0,Project_Register!$U$13-H41),MAX(0,Project_Register!$U$13-H41)/(Project_Register!$J$13-Assumptions!I$201+1))))</f>
        <v>0</v>
      </c>
      <c r="J15" s="67" t="n">
        <f aca="false">IF(J$5="A",Inputs_Actuals!J136,IF(Assumptions!J$201&lt;Project_Register!$I$13,0,IF(Assumptions!J$201&gt;=Project_Register!$J$13,MAX(0,Project_Register!$U$13-I41),MAX(0,Project_Register!$U$13-I41)/(Project_Register!$J$13-Assumptions!J$201+1))))</f>
        <v>95</v>
      </c>
      <c r="K15" s="67" t="n">
        <f aca="false">IF(K$5="A",Inputs_Actuals!K136,IF(Assumptions!K$201&lt;Project_Register!$I$13,0,IF(Assumptions!K$201&gt;=Project_Register!$J$13,MAX(0,Project_Register!$U$13-J41),MAX(0,Project_Register!$U$13-J41)/(Project_Register!$J$13-Assumptions!K$201+1))))</f>
        <v>130</v>
      </c>
      <c r="L15" s="67" t="n">
        <f aca="false">IF(L$5="A",Inputs_Actuals!L136,IF(Assumptions!L$201&lt;Project_Register!$I$13,0,IF(Assumptions!L$201&gt;=Project_Register!$J$13,MAX(0,Project_Register!$U$13-K41),MAX(0,Project_Register!$U$13-K41)/(Project_Register!$J$13-Assumptions!L$201+1))))</f>
        <v>85</v>
      </c>
      <c r="M15" s="67" t="n">
        <f aca="false">IF(M$5="A",Inputs_Actuals!M136,IF(Assumptions!M$201&lt;Project_Register!$I$13,0,IF(Assumptions!M$201&gt;=Project_Register!$J$13,MAX(0,Project_Register!$U$13-L41),MAX(0,Project_Register!$U$13-L41)/(Project_Register!$J$13-Assumptions!M$201+1))))</f>
        <v>160</v>
      </c>
      <c r="N15" s="67" t="n">
        <f aca="false">IF(N$5="A",Inputs_Actuals!N136,IF(Assumptions!N$201&lt;Project_Register!$I$13,0,IF(Assumptions!N$201&gt;=Project_Register!$J$13,MAX(0,Project_Register!$U$13-M41),MAX(0,Project_Register!$U$13-M41)/(Project_Register!$J$13-Assumptions!N$201+1))))</f>
        <v>0</v>
      </c>
      <c r="O15" s="67" t="n">
        <f aca="false">IF(O$5="A",Inputs_Actuals!O136,IF(Assumptions!O$201&lt;Project_Register!$I$13,0,IF(Assumptions!O$201&gt;=Project_Register!$J$13,MAX(0,Project_Register!$U$13-N41),MAX(0,Project_Register!$U$13-N41)/(Project_Register!$J$13-Assumptions!O$201+1))))</f>
        <v>0</v>
      </c>
      <c r="P15" s="67" t="n">
        <f aca="false">IF(P$5="A",Inputs_Actuals!P136,IF(Assumptions!P$201&lt;Project_Register!$I$13,0,IF(Assumptions!P$201&gt;=Project_Register!$J$13,MAX(0,Project_Register!$U$13-O41),MAX(0,Project_Register!$U$13-O41)/(Project_Register!$J$13-Assumptions!P$201+1))))</f>
        <v>0</v>
      </c>
      <c r="Q15" s="67" t="n">
        <f aca="false">IF(Q$5="A",Inputs_Actuals!Q136,IF(Assumptions!Q$201&lt;Project_Register!$I$13,0,IF(Assumptions!Q$201&gt;=Project_Register!$J$13,MAX(0,Project_Register!$U$13-P41),MAX(0,Project_Register!$U$13-P41)/(Project_Register!$J$13-Assumptions!Q$201+1))))</f>
        <v>0</v>
      </c>
      <c r="R15" s="67" t="n">
        <f aca="false">IF(R$5="A",Inputs_Actuals!R136,IF(Assumptions!R$201&lt;Project_Register!$I$13,0,IF(Assumptions!R$201&gt;=Project_Register!$J$13,MAX(0,Project_Register!$U$13-Q41),MAX(0,Project_Register!$U$13-Q41)/(Project_Register!$J$13-Assumptions!R$201+1))))</f>
        <v>0</v>
      </c>
      <c r="S15" s="67" t="n">
        <f aca="false">IF(S$5="A",Inputs_Actuals!S136,IF(Assumptions!S$201&lt;Project_Register!$I$13,0,IF(Assumptions!S$201&gt;=Project_Register!$J$13,MAX(0,Project_Register!$U$13-R41),MAX(0,Project_Register!$U$13-R41)/(Project_Register!$J$13-Assumptions!S$201+1))))</f>
        <v>0</v>
      </c>
      <c r="T15" s="67" t="n">
        <f aca="false">IF(T$5="A",Inputs_Actuals!T136,IF(Assumptions!T$201&lt;Project_Register!$I$13,0,IF(Assumptions!T$201&gt;=Project_Register!$J$13,MAX(0,Project_Register!$U$13-S41),MAX(0,Project_Register!$U$13-S41)/(Project_Register!$J$13-Assumptions!T$201+1))))</f>
        <v>0</v>
      </c>
      <c r="U15" s="67" t="n">
        <f aca="false">IF(U$5="A",Inputs_Actuals!U136,IF(Assumptions!U$201&lt;Project_Register!$I$13,0,IF(Assumptions!U$201&gt;=Project_Register!$J$13,MAX(0,Project_Register!$U$13-T41),MAX(0,Project_Register!$U$13-T41)/(Project_Register!$J$13-Assumptions!U$201+1))))</f>
        <v>0</v>
      </c>
      <c r="V15" s="67" t="n">
        <f aca="false">IF(V$5="A",Inputs_Actuals!V136,IF(Assumptions!V$201&lt;Project_Register!$I$13,0,IF(Assumptions!V$201&gt;=Project_Register!$J$13,MAX(0,Project_Register!$U$13-U41),MAX(0,Project_Register!$U$13-U41)/(Project_Register!$J$13-Assumptions!V$201+1))))</f>
        <v>0</v>
      </c>
      <c r="W15" s="67" t="n">
        <f aca="false">IF(W$5="A",Inputs_Actuals!W136,IF(Assumptions!W$201&lt;Project_Register!$I$13,0,IF(Assumptions!W$201&gt;=Project_Register!$J$13,MAX(0,Project_Register!$U$13-V41),MAX(0,Project_Register!$U$13-V41)/(Project_Register!$J$13-Assumptions!W$201+1))))</f>
        <v>0</v>
      </c>
      <c r="X15" s="67" t="n">
        <f aca="false">IF(X$5="A",Inputs_Actuals!X136,IF(Assumptions!X$201&lt;Project_Register!$I$13,0,IF(Assumptions!X$201&gt;=Project_Register!$J$13,MAX(0,Project_Register!$U$13-W41),MAX(0,Project_Register!$U$13-W41)/(Project_Register!$J$13-Assumptions!X$201+1))))</f>
        <v>0</v>
      </c>
      <c r="Y15" s="67" t="n">
        <f aca="false">IF(Y$5="A",Inputs_Actuals!Y136,IF(Assumptions!Y$201&lt;Project_Register!$I$13,0,IF(Assumptions!Y$201&gt;=Project_Register!$J$13,MAX(0,Project_Register!$U$13-X41),MAX(0,Project_Register!$U$13-X41)/(Project_Register!$J$13-Assumptions!Y$201+1))))</f>
        <v>0</v>
      </c>
      <c r="Z15" s="67" t="n">
        <f aca="false">IF(Z$5="A",Inputs_Actuals!Z136,IF(Assumptions!Z$201&lt;Project_Register!$I$13,0,IF(Assumptions!Z$201&gt;=Project_Register!$J$13,MAX(0,Project_Register!$U$13-Y41),MAX(0,Project_Register!$U$13-Y41)/(Project_Register!$J$13-Assumptions!Z$201+1))))</f>
        <v>0</v>
      </c>
      <c r="AA15" s="67" t="n">
        <f aca="false">IF(AA$5="A",Inputs_Actuals!AA136,IF(Assumptions!AA$201&lt;Project_Register!$I$13,0,IF(Assumptions!AA$201&gt;=Project_Register!$J$13,MAX(0,Project_Register!$U$13-Z41),MAX(0,Project_Register!$U$13-Z41)/(Project_Register!$J$13-Assumptions!AA$201+1))))</f>
        <v>0</v>
      </c>
      <c r="AB15" s="67" t="n">
        <f aca="false">IF(AB$5="A",Inputs_Actuals!AB136,IF(Assumptions!AB$201&lt;Project_Register!$I$13,0,IF(Assumptions!AB$201&gt;=Project_Register!$J$13,MAX(0,Project_Register!$U$13-AA41),MAX(0,Project_Register!$U$13-AA41)/(Project_Register!$J$13-Assumptions!AB$201+1))))</f>
        <v>0</v>
      </c>
    </row>
    <row r="16" customFormat="false" ht="15" hidden="false" customHeight="false" outlineLevel="0" collapsed="false">
      <c r="A16" s="27" t="s">
        <v>934</v>
      </c>
      <c r="B16" s="63"/>
      <c r="C16" s="66" t="n">
        <f aca="false">SUM(E16:P16)</f>
        <v>880</v>
      </c>
      <c r="D16" s="66" t="n">
        <f aca="false">SUM(Q16:AB16)</f>
        <v>220</v>
      </c>
      <c r="E16" s="67" t="n">
        <f aca="false">IF(E$5="A",Inputs_Actuals!E138,IF(Assumptions!E$201&lt;Project_Register!$I$14,0,IF(Assumptions!E$201&gt;=Project_Register!$J$14,MAX(0,Project_Register!$U$14-Project_Register!$M$14),MAX(0,Project_Register!$U$14-Project_Register!$M$14)/(Project_Register!$J$14-Assumptions!E$201+1))))</f>
        <v>0</v>
      </c>
      <c r="F16" s="67" t="n">
        <f aca="false">IF(F$5="A",Inputs_Actuals!F138,IF(Assumptions!F$201&lt;Project_Register!$I$14,0,IF(Assumptions!F$201&gt;=Project_Register!$J$14,MAX(0,Project_Register!$U$14-E42),MAX(0,Project_Register!$U$14-E42)/(Project_Register!$J$14-Assumptions!F$201+1))))</f>
        <v>0</v>
      </c>
      <c r="G16" s="67" t="n">
        <f aca="false">IF(G$5="A",Inputs_Actuals!G138,IF(Assumptions!G$201&lt;Project_Register!$I$14,0,IF(Assumptions!G$201&gt;=Project_Register!$J$14,MAX(0,Project_Register!$U$14-F42),MAX(0,Project_Register!$U$14-F42)/(Project_Register!$J$14-Assumptions!G$201+1))))</f>
        <v>0</v>
      </c>
      <c r="H16" s="67" t="n">
        <f aca="false">IF(H$5="A",Inputs_Actuals!H138,IF(Assumptions!H$201&lt;Project_Register!$I$14,0,IF(Assumptions!H$201&gt;=Project_Register!$J$14,MAX(0,Project_Register!$U$14-G42),MAX(0,Project_Register!$U$14-G42)/(Project_Register!$J$14-Assumptions!H$201+1))))</f>
        <v>0</v>
      </c>
      <c r="I16" s="67" t="n">
        <f aca="false">IF(I$5="A",Inputs_Actuals!I138,IF(Assumptions!I$201&lt;Project_Register!$I$14,0,IF(Assumptions!I$201&gt;=Project_Register!$J$14,MAX(0,Project_Register!$U$14-H42),MAX(0,Project_Register!$U$14-H42)/(Project_Register!$J$14-Assumptions!I$201+1))))</f>
        <v>0</v>
      </c>
      <c r="J16" s="67" t="n">
        <f aca="false">IF(J$5="A",Inputs_Actuals!J138,IF(Assumptions!J$201&lt;Project_Register!$I$14,0,IF(Assumptions!J$201&gt;=Project_Register!$J$14,MAX(0,Project_Register!$U$14-I42),MAX(0,Project_Register!$U$14-I42)/(Project_Register!$J$14-Assumptions!J$201+1))))</f>
        <v>0</v>
      </c>
      <c r="K16" s="67" t="n">
        <f aca="false">IF(K$5="A",Inputs_Actuals!K138,IF(Assumptions!K$201&lt;Project_Register!$I$14,0,IF(Assumptions!K$201&gt;=Project_Register!$J$14,MAX(0,Project_Register!$U$14-J42),MAX(0,Project_Register!$U$14-J42)/(Project_Register!$J$14-Assumptions!K$201+1))))</f>
        <v>0</v>
      </c>
      <c r="L16" s="67" t="n">
        <f aca="false">IF(L$5="A",Inputs_Actuals!L138,IF(Assumptions!L$201&lt;Project_Register!$I$14,0,IF(Assumptions!L$201&gt;=Project_Register!$J$14,MAX(0,Project_Register!$U$14-K42),MAX(0,Project_Register!$U$14-K42)/(Project_Register!$J$14-Assumptions!L$201+1))))</f>
        <v>0</v>
      </c>
      <c r="M16" s="67" t="n">
        <f aca="false">IF(M$5="A",Inputs_Actuals!M138,IF(Assumptions!M$201&lt;Project_Register!$I$14,0,IF(Assumptions!M$201&gt;=Project_Register!$J$14,MAX(0,Project_Register!$U$14-L42),MAX(0,Project_Register!$U$14-L42)/(Project_Register!$J$14-Assumptions!M$201+1))))</f>
        <v>220</v>
      </c>
      <c r="N16" s="67" t="n">
        <f aca="false">IF(N$5="A",Inputs_Actuals!N138,IF(Assumptions!N$201&lt;Project_Register!$I$14,0,IF(Assumptions!N$201&gt;=Project_Register!$J$14,MAX(0,Project_Register!$U$14-M42),MAX(0,Project_Register!$U$14-M42)/(Project_Register!$J$14-Assumptions!N$201+1))))</f>
        <v>220</v>
      </c>
      <c r="O16" s="67" t="n">
        <f aca="false">IF(O$5="A",Inputs_Actuals!O138,IF(Assumptions!O$201&lt;Project_Register!$I$14,0,IF(Assumptions!O$201&gt;=Project_Register!$J$14,MAX(0,Project_Register!$U$14-N42),MAX(0,Project_Register!$U$14-N42)/(Project_Register!$J$14-Assumptions!O$201+1))))</f>
        <v>220</v>
      </c>
      <c r="P16" s="67" t="n">
        <f aca="false">IF(P$5="A",Inputs_Actuals!P138,IF(Assumptions!P$201&lt;Project_Register!$I$14,0,IF(Assumptions!P$201&gt;=Project_Register!$J$14,MAX(0,Project_Register!$U$14-O42),MAX(0,Project_Register!$U$14-O42)/(Project_Register!$J$14-Assumptions!P$201+1))))</f>
        <v>220</v>
      </c>
      <c r="Q16" s="67" t="n">
        <f aca="false">IF(Q$5="A",Inputs_Actuals!Q138,IF(Assumptions!Q$201&lt;Project_Register!$I$14,0,IF(Assumptions!Q$201&gt;=Project_Register!$J$14,MAX(0,Project_Register!$U$14-P42),MAX(0,Project_Register!$U$14-P42)/(Project_Register!$J$14-Assumptions!Q$201+1))))</f>
        <v>220</v>
      </c>
      <c r="R16" s="67" t="n">
        <f aca="false">IF(R$5="A",Inputs_Actuals!R138,IF(Assumptions!R$201&lt;Project_Register!$I$14,0,IF(Assumptions!R$201&gt;=Project_Register!$J$14,MAX(0,Project_Register!$U$14-Q42),MAX(0,Project_Register!$U$14-Q42)/(Project_Register!$J$14-Assumptions!R$201+1))))</f>
        <v>0</v>
      </c>
      <c r="S16" s="67" t="n">
        <f aca="false">IF(S$5="A",Inputs_Actuals!S138,IF(Assumptions!S$201&lt;Project_Register!$I$14,0,IF(Assumptions!S$201&gt;=Project_Register!$J$14,MAX(0,Project_Register!$U$14-R42),MAX(0,Project_Register!$U$14-R42)/(Project_Register!$J$14-Assumptions!S$201+1))))</f>
        <v>0</v>
      </c>
      <c r="T16" s="67" t="n">
        <f aca="false">IF(T$5="A",Inputs_Actuals!T138,IF(Assumptions!T$201&lt;Project_Register!$I$14,0,IF(Assumptions!T$201&gt;=Project_Register!$J$14,MAX(0,Project_Register!$U$14-S42),MAX(0,Project_Register!$U$14-S42)/(Project_Register!$J$14-Assumptions!T$201+1))))</f>
        <v>0</v>
      </c>
      <c r="U16" s="67" t="n">
        <f aca="false">IF(U$5="A",Inputs_Actuals!U138,IF(Assumptions!U$201&lt;Project_Register!$I$14,0,IF(Assumptions!U$201&gt;=Project_Register!$J$14,MAX(0,Project_Register!$U$14-T42),MAX(0,Project_Register!$U$14-T42)/(Project_Register!$J$14-Assumptions!U$201+1))))</f>
        <v>0</v>
      </c>
      <c r="V16" s="67" t="n">
        <f aca="false">IF(V$5="A",Inputs_Actuals!V138,IF(Assumptions!V$201&lt;Project_Register!$I$14,0,IF(Assumptions!V$201&gt;=Project_Register!$J$14,MAX(0,Project_Register!$U$14-U42),MAX(0,Project_Register!$U$14-U42)/(Project_Register!$J$14-Assumptions!V$201+1))))</f>
        <v>0</v>
      </c>
      <c r="W16" s="67" t="n">
        <f aca="false">IF(W$5="A",Inputs_Actuals!W138,IF(Assumptions!W$201&lt;Project_Register!$I$14,0,IF(Assumptions!W$201&gt;=Project_Register!$J$14,MAX(0,Project_Register!$U$14-V42),MAX(0,Project_Register!$U$14-V42)/(Project_Register!$J$14-Assumptions!W$201+1))))</f>
        <v>0</v>
      </c>
      <c r="X16" s="67" t="n">
        <f aca="false">IF(X$5="A",Inputs_Actuals!X138,IF(Assumptions!X$201&lt;Project_Register!$I$14,0,IF(Assumptions!X$201&gt;=Project_Register!$J$14,MAX(0,Project_Register!$U$14-W42),MAX(0,Project_Register!$U$14-W42)/(Project_Register!$J$14-Assumptions!X$201+1))))</f>
        <v>0</v>
      </c>
      <c r="Y16" s="67" t="n">
        <f aca="false">IF(Y$5="A",Inputs_Actuals!Y138,IF(Assumptions!Y$201&lt;Project_Register!$I$14,0,IF(Assumptions!Y$201&gt;=Project_Register!$J$14,MAX(0,Project_Register!$U$14-X42),MAX(0,Project_Register!$U$14-X42)/(Project_Register!$J$14-Assumptions!Y$201+1))))</f>
        <v>0</v>
      </c>
      <c r="Z16" s="67" t="n">
        <f aca="false">IF(Z$5="A",Inputs_Actuals!Z138,IF(Assumptions!Z$201&lt;Project_Register!$I$14,0,IF(Assumptions!Z$201&gt;=Project_Register!$J$14,MAX(0,Project_Register!$U$14-Y42),MAX(0,Project_Register!$U$14-Y42)/(Project_Register!$J$14-Assumptions!Z$201+1))))</f>
        <v>0</v>
      </c>
      <c r="AA16" s="67" t="n">
        <f aca="false">IF(AA$5="A",Inputs_Actuals!AA138,IF(Assumptions!AA$201&lt;Project_Register!$I$14,0,IF(Assumptions!AA$201&gt;=Project_Register!$J$14,MAX(0,Project_Register!$U$14-Z42),MAX(0,Project_Register!$U$14-Z42)/(Project_Register!$J$14-Assumptions!AA$201+1))))</f>
        <v>0</v>
      </c>
      <c r="AB16" s="67" t="n">
        <f aca="false">IF(AB$5="A",Inputs_Actuals!AB138,IF(Assumptions!AB$201&lt;Project_Register!$I$14,0,IF(Assumptions!AB$201&gt;=Project_Register!$J$14,MAX(0,Project_Register!$U$14-AA42),MAX(0,Project_Register!$U$14-AA42)/(Project_Register!$J$14-Assumptions!AB$201+1))))</f>
        <v>0</v>
      </c>
    </row>
    <row r="17" customFormat="false" ht="15" hidden="false" customHeight="false" outlineLevel="0" collapsed="false">
      <c r="A17" s="27" t="s">
        <v>935</v>
      </c>
      <c r="B17" s="63"/>
      <c r="C17" s="66" t="n">
        <f aca="false">SUM(E17:P17)</f>
        <v>960</v>
      </c>
      <c r="D17" s="66" t="n">
        <f aca="false">SUM(Q17:AB17)</f>
        <v>0</v>
      </c>
      <c r="E17" s="67" t="n">
        <f aca="false">IF(E$5="A",Inputs_Actuals!E140,IF(Assumptions!E$201&lt;Project_Register!$I$15,0,IF(Assumptions!E$201&gt;=Project_Register!$J$15,MAX(0,Project_Register!$U$15-Project_Register!$M$15),MAX(0,Project_Register!$U$15-Project_Register!$M$15)/(Project_Register!$J$15-Assumptions!E$201+1))))</f>
        <v>78</v>
      </c>
      <c r="F17" s="67" t="n">
        <f aca="false">IF(F$5="A",Inputs_Actuals!F140,IF(Assumptions!F$201&lt;Project_Register!$I$15,0,IF(Assumptions!F$201&gt;=Project_Register!$J$15,MAX(0,Project_Register!$U$15-E43),MAX(0,Project_Register!$U$15-E43)/(Project_Register!$J$15-Assumptions!F$201+1))))</f>
        <v>82</v>
      </c>
      <c r="G17" s="67" t="n">
        <f aca="false">IF(G$5="A",Inputs_Actuals!G140,IF(Assumptions!G$201&lt;Project_Register!$I$15,0,IF(Assumptions!G$201&gt;=Project_Register!$J$15,MAX(0,Project_Register!$U$15-F43),MAX(0,Project_Register!$U$15-F43)/(Project_Register!$J$15-Assumptions!G$201+1))))</f>
        <v>80</v>
      </c>
      <c r="H17" s="67" t="n">
        <f aca="false">IF(H$5="A",Inputs_Actuals!H140,IF(Assumptions!H$201&lt;Project_Register!$I$15,0,IF(Assumptions!H$201&gt;=Project_Register!$J$15,MAX(0,Project_Register!$U$15-G43),MAX(0,Project_Register!$U$15-G43)/(Project_Register!$J$15-Assumptions!H$201+1))))</f>
        <v>79</v>
      </c>
      <c r="I17" s="67" t="n">
        <f aca="false">IF(I$5="A",Inputs_Actuals!I140,IF(Assumptions!I$201&lt;Project_Register!$I$15,0,IF(Assumptions!I$201&gt;=Project_Register!$J$15,MAX(0,Project_Register!$U$15-H43),MAX(0,Project_Register!$U$15-H43)/(Project_Register!$J$15-Assumptions!I$201+1))))</f>
        <v>81</v>
      </c>
      <c r="J17" s="67" t="n">
        <f aca="false">IF(J$5="A",Inputs_Actuals!J140,IF(Assumptions!J$201&lt;Project_Register!$I$15,0,IF(Assumptions!J$201&gt;=Project_Register!$J$15,MAX(0,Project_Register!$U$15-I43),MAX(0,Project_Register!$U$15-I43)/(Project_Register!$J$15-Assumptions!J$201+1))))</f>
        <v>83</v>
      </c>
      <c r="K17" s="67" t="n">
        <f aca="false">IF(K$5="A",Inputs_Actuals!K140,IF(Assumptions!K$201&lt;Project_Register!$I$15,0,IF(Assumptions!K$201&gt;=Project_Register!$J$15,MAX(0,Project_Register!$U$15-J43),MAX(0,Project_Register!$U$15-J43)/(Project_Register!$J$15-Assumptions!K$201+1))))</f>
        <v>80</v>
      </c>
      <c r="L17" s="67" t="n">
        <f aca="false">IF(L$5="A",Inputs_Actuals!L140,IF(Assumptions!L$201&lt;Project_Register!$I$15,0,IF(Assumptions!L$201&gt;=Project_Register!$J$15,MAX(0,Project_Register!$U$15-K43),MAX(0,Project_Register!$U$15-K43)/(Project_Register!$J$15-Assumptions!L$201+1))))</f>
        <v>58</v>
      </c>
      <c r="M17" s="67" t="n">
        <f aca="false">IF(M$5="A",Inputs_Actuals!M140,IF(Assumptions!M$201&lt;Project_Register!$I$15,0,IF(Assumptions!M$201&gt;=Project_Register!$J$15,MAX(0,Project_Register!$U$15-L43),MAX(0,Project_Register!$U$15-L43)/(Project_Register!$J$15-Assumptions!M$201+1))))</f>
        <v>84.75</v>
      </c>
      <c r="N17" s="67" t="n">
        <f aca="false">IF(N$5="A",Inputs_Actuals!N140,IF(Assumptions!N$201&lt;Project_Register!$I$15,0,IF(Assumptions!N$201&gt;=Project_Register!$J$15,MAX(0,Project_Register!$U$15-M43),MAX(0,Project_Register!$U$15-M43)/(Project_Register!$J$15-Assumptions!N$201+1))))</f>
        <v>84.75</v>
      </c>
      <c r="O17" s="67" t="n">
        <f aca="false">IF(O$5="A",Inputs_Actuals!O140,IF(Assumptions!O$201&lt;Project_Register!$I$15,0,IF(Assumptions!O$201&gt;=Project_Register!$J$15,MAX(0,Project_Register!$U$15-N43),MAX(0,Project_Register!$U$15-N43)/(Project_Register!$J$15-Assumptions!O$201+1))))</f>
        <v>84.75</v>
      </c>
      <c r="P17" s="67" t="n">
        <f aca="false">IF(P$5="A",Inputs_Actuals!P140,IF(Assumptions!P$201&lt;Project_Register!$I$15,0,IF(Assumptions!P$201&gt;=Project_Register!$J$15,MAX(0,Project_Register!$U$15-O43),MAX(0,Project_Register!$U$15-O43)/(Project_Register!$J$15-Assumptions!P$201+1))))</f>
        <v>84.75</v>
      </c>
      <c r="Q17" s="67" t="n">
        <f aca="false">IF(Q$5="A",Inputs_Actuals!Q140,IF(Assumptions!Q$201&lt;Project_Register!$I$15,0,IF(Assumptions!Q$201&gt;=Project_Register!$J$15,MAX(0,Project_Register!$U$15-P43),MAX(0,Project_Register!$U$15-P43)/(Project_Register!$J$15-Assumptions!Q$201+1))))</f>
        <v>0</v>
      </c>
      <c r="R17" s="67" t="n">
        <f aca="false">IF(R$5="A",Inputs_Actuals!R140,IF(Assumptions!R$201&lt;Project_Register!$I$15,0,IF(Assumptions!R$201&gt;=Project_Register!$J$15,MAX(0,Project_Register!$U$15-Q43),MAX(0,Project_Register!$U$15-Q43)/(Project_Register!$J$15-Assumptions!R$201+1))))</f>
        <v>0</v>
      </c>
      <c r="S17" s="67" t="n">
        <f aca="false">IF(S$5="A",Inputs_Actuals!S140,IF(Assumptions!S$201&lt;Project_Register!$I$15,0,IF(Assumptions!S$201&gt;=Project_Register!$J$15,MAX(0,Project_Register!$U$15-R43),MAX(0,Project_Register!$U$15-R43)/(Project_Register!$J$15-Assumptions!S$201+1))))</f>
        <v>0</v>
      </c>
      <c r="T17" s="67" t="n">
        <f aca="false">IF(T$5="A",Inputs_Actuals!T140,IF(Assumptions!T$201&lt;Project_Register!$I$15,0,IF(Assumptions!T$201&gt;=Project_Register!$J$15,MAX(0,Project_Register!$U$15-S43),MAX(0,Project_Register!$U$15-S43)/(Project_Register!$J$15-Assumptions!T$201+1))))</f>
        <v>0</v>
      </c>
      <c r="U17" s="67" t="n">
        <f aca="false">IF(U$5="A",Inputs_Actuals!U140,IF(Assumptions!U$201&lt;Project_Register!$I$15,0,IF(Assumptions!U$201&gt;=Project_Register!$J$15,MAX(0,Project_Register!$U$15-T43),MAX(0,Project_Register!$U$15-T43)/(Project_Register!$J$15-Assumptions!U$201+1))))</f>
        <v>0</v>
      </c>
      <c r="V17" s="67" t="n">
        <f aca="false">IF(V$5="A",Inputs_Actuals!V140,IF(Assumptions!V$201&lt;Project_Register!$I$15,0,IF(Assumptions!V$201&gt;=Project_Register!$J$15,MAX(0,Project_Register!$U$15-U43),MAX(0,Project_Register!$U$15-U43)/(Project_Register!$J$15-Assumptions!V$201+1))))</f>
        <v>0</v>
      </c>
      <c r="W17" s="67" t="n">
        <f aca="false">IF(W$5="A",Inputs_Actuals!W140,IF(Assumptions!W$201&lt;Project_Register!$I$15,0,IF(Assumptions!W$201&gt;=Project_Register!$J$15,MAX(0,Project_Register!$U$15-V43),MAX(0,Project_Register!$U$15-V43)/(Project_Register!$J$15-Assumptions!W$201+1))))</f>
        <v>0</v>
      </c>
      <c r="X17" s="67" t="n">
        <f aca="false">IF(X$5="A",Inputs_Actuals!X140,IF(Assumptions!X$201&lt;Project_Register!$I$15,0,IF(Assumptions!X$201&gt;=Project_Register!$J$15,MAX(0,Project_Register!$U$15-W43),MAX(0,Project_Register!$U$15-W43)/(Project_Register!$J$15-Assumptions!X$201+1))))</f>
        <v>0</v>
      </c>
      <c r="Y17" s="67" t="n">
        <f aca="false">IF(Y$5="A",Inputs_Actuals!Y140,IF(Assumptions!Y$201&lt;Project_Register!$I$15,0,IF(Assumptions!Y$201&gt;=Project_Register!$J$15,MAX(0,Project_Register!$U$15-X43),MAX(0,Project_Register!$U$15-X43)/(Project_Register!$J$15-Assumptions!Y$201+1))))</f>
        <v>0</v>
      </c>
      <c r="Z17" s="67" t="n">
        <f aca="false">IF(Z$5="A",Inputs_Actuals!Z140,IF(Assumptions!Z$201&lt;Project_Register!$I$15,0,IF(Assumptions!Z$201&gt;=Project_Register!$J$15,MAX(0,Project_Register!$U$15-Y43),MAX(0,Project_Register!$U$15-Y43)/(Project_Register!$J$15-Assumptions!Z$201+1))))</f>
        <v>0</v>
      </c>
      <c r="AA17" s="67" t="n">
        <f aca="false">IF(AA$5="A",Inputs_Actuals!AA140,IF(Assumptions!AA$201&lt;Project_Register!$I$15,0,IF(Assumptions!AA$201&gt;=Project_Register!$J$15,MAX(0,Project_Register!$U$15-Z43),MAX(0,Project_Register!$U$15-Z43)/(Project_Register!$J$15-Assumptions!AA$201+1))))</f>
        <v>0</v>
      </c>
      <c r="AB17" s="67" t="n">
        <f aca="false">IF(AB$5="A",Inputs_Actuals!AB140,IF(Assumptions!AB$201&lt;Project_Register!$I$15,0,IF(Assumptions!AB$201&gt;=Project_Register!$J$15,MAX(0,Project_Register!$U$15-AA43),MAX(0,Project_Register!$U$15-AA43)/(Project_Register!$J$15-Assumptions!AB$201+1))))</f>
        <v>0</v>
      </c>
    </row>
    <row r="18" customFormat="false" ht="15" hidden="false" customHeight="false" outlineLevel="0" collapsed="false">
      <c r="A18" s="27" t="s">
        <v>936</v>
      </c>
      <c r="B18" s="63"/>
      <c r="C18" s="66" t="n">
        <f aca="false">SUM(E18:P18)</f>
        <v>450</v>
      </c>
      <c r="D18" s="66" t="n">
        <f aca="false">SUM(Q18:AB18)</f>
        <v>0</v>
      </c>
      <c r="E18" s="67" t="n">
        <f aca="false">IF(E$5="A",Inputs_Actuals!E142,IF(Assumptions!E$201&lt;Project_Register!$I$16,0,IF(Assumptions!E$201&gt;=Project_Register!$J$16,MAX(0,Project_Register!$U$16-Project_Register!$M$16),MAX(0,Project_Register!$U$16-Project_Register!$M$16)/(Project_Register!$J$16-Assumptions!E$201+1))))</f>
        <v>0</v>
      </c>
      <c r="F18" s="67" t="n">
        <f aca="false">IF(F$5="A",Inputs_Actuals!F142,IF(Assumptions!F$201&lt;Project_Register!$I$16,0,IF(Assumptions!F$201&gt;=Project_Register!$J$16,MAX(0,Project_Register!$U$16-E44),MAX(0,Project_Register!$U$16-E44)/(Project_Register!$J$16-Assumptions!F$201+1))))</f>
        <v>0</v>
      </c>
      <c r="G18" s="67" t="n">
        <f aca="false">IF(G$5="A",Inputs_Actuals!G142,IF(Assumptions!G$201&lt;Project_Register!$I$16,0,IF(Assumptions!G$201&gt;=Project_Register!$J$16,MAX(0,Project_Register!$U$16-F44),MAX(0,Project_Register!$U$16-F44)/(Project_Register!$J$16-Assumptions!G$201+1))))</f>
        <v>0</v>
      </c>
      <c r="H18" s="67" t="n">
        <f aca="false">IF(H$5="A",Inputs_Actuals!H142,IF(Assumptions!H$201&lt;Project_Register!$I$16,0,IF(Assumptions!H$201&gt;=Project_Register!$J$16,MAX(0,Project_Register!$U$16-G44),MAX(0,Project_Register!$U$16-G44)/(Project_Register!$J$16-Assumptions!H$201+1))))</f>
        <v>0</v>
      </c>
      <c r="I18" s="67" t="n">
        <f aca="false">IF(I$5="A",Inputs_Actuals!I142,IF(Assumptions!I$201&lt;Project_Register!$I$16,0,IF(Assumptions!I$201&gt;=Project_Register!$J$16,MAX(0,Project_Register!$U$16-H44),MAX(0,Project_Register!$U$16-H44)/(Project_Register!$J$16-Assumptions!I$201+1))))</f>
        <v>0</v>
      </c>
      <c r="J18" s="67" t="n">
        <f aca="false">IF(J$5="A",Inputs_Actuals!J142,IF(Assumptions!J$201&lt;Project_Register!$I$16,0,IF(Assumptions!J$201&gt;=Project_Register!$J$16,MAX(0,Project_Register!$U$16-I44),MAX(0,Project_Register!$U$16-I44)/(Project_Register!$J$16-Assumptions!J$201+1))))</f>
        <v>0</v>
      </c>
      <c r="K18" s="67" t="n">
        <f aca="false">IF(K$5="A",Inputs_Actuals!K142,IF(Assumptions!K$201&lt;Project_Register!$I$16,0,IF(Assumptions!K$201&gt;=Project_Register!$J$16,MAX(0,Project_Register!$U$16-J44),MAX(0,Project_Register!$U$16-J44)/(Project_Register!$J$16-Assumptions!K$201+1))))</f>
        <v>130</v>
      </c>
      <c r="L18" s="67" t="n">
        <f aca="false">IF(L$5="A",Inputs_Actuals!L142,IF(Assumptions!L$201&lt;Project_Register!$I$16,0,IF(Assumptions!L$201&gt;=Project_Register!$J$16,MAX(0,Project_Register!$U$16-K44),MAX(0,Project_Register!$U$16-K44)/(Project_Register!$J$16-Assumptions!L$201+1))))</f>
        <v>95</v>
      </c>
      <c r="M18" s="67" t="n">
        <f aca="false">IF(M$5="A",Inputs_Actuals!M142,IF(Assumptions!M$201&lt;Project_Register!$I$16,0,IF(Assumptions!M$201&gt;=Project_Register!$J$16,MAX(0,Project_Register!$U$16-L44),MAX(0,Project_Register!$U$16-L44)/(Project_Register!$J$16-Assumptions!M$201+1))))</f>
        <v>225</v>
      </c>
      <c r="N18" s="67" t="n">
        <f aca="false">IF(N$5="A",Inputs_Actuals!N142,IF(Assumptions!N$201&lt;Project_Register!$I$16,0,IF(Assumptions!N$201&gt;=Project_Register!$J$16,MAX(0,Project_Register!$U$16-M44),MAX(0,Project_Register!$U$16-M44)/(Project_Register!$J$16-Assumptions!N$201+1))))</f>
        <v>0</v>
      </c>
      <c r="O18" s="67" t="n">
        <f aca="false">IF(O$5="A",Inputs_Actuals!O142,IF(Assumptions!O$201&lt;Project_Register!$I$16,0,IF(Assumptions!O$201&gt;=Project_Register!$J$16,MAX(0,Project_Register!$U$16-N44),MAX(0,Project_Register!$U$16-N44)/(Project_Register!$J$16-Assumptions!O$201+1))))</f>
        <v>0</v>
      </c>
      <c r="P18" s="67" t="n">
        <f aca="false">IF(P$5="A",Inputs_Actuals!P142,IF(Assumptions!P$201&lt;Project_Register!$I$16,0,IF(Assumptions!P$201&gt;=Project_Register!$J$16,MAX(0,Project_Register!$U$16-O44),MAX(0,Project_Register!$U$16-O44)/(Project_Register!$J$16-Assumptions!P$201+1))))</f>
        <v>0</v>
      </c>
      <c r="Q18" s="67" t="n">
        <f aca="false">IF(Q$5="A",Inputs_Actuals!Q142,IF(Assumptions!Q$201&lt;Project_Register!$I$16,0,IF(Assumptions!Q$201&gt;=Project_Register!$J$16,MAX(0,Project_Register!$U$16-P44),MAX(0,Project_Register!$U$16-P44)/(Project_Register!$J$16-Assumptions!Q$201+1))))</f>
        <v>0</v>
      </c>
      <c r="R18" s="67" t="n">
        <f aca="false">IF(R$5="A",Inputs_Actuals!R142,IF(Assumptions!R$201&lt;Project_Register!$I$16,0,IF(Assumptions!R$201&gt;=Project_Register!$J$16,MAX(0,Project_Register!$U$16-Q44),MAX(0,Project_Register!$U$16-Q44)/(Project_Register!$J$16-Assumptions!R$201+1))))</f>
        <v>0</v>
      </c>
      <c r="S18" s="67" t="n">
        <f aca="false">IF(S$5="A",Inputs_Actuals!S142,IF(Assumptions!S$201&lt;Project_Register!$I$16,0,IF(Assumptions!S$201&gt;=Project_Register!$J$16,MAX(0,Project_Register!$U$16-R44),MAX(0,Project_Register!$U$16-R44)/(Project_Register!$J$16-Assumptions!S$201+1))))</f>
        <v>0</v>
      </c>
      <c r="T18" s="67" t="n">
        <f aca="false">IF(T$5="A",Inputs_Actuals!T142,IF(Assumptions!T$201&lt;Project_Register!$I$16,0,IF(Assumptions!T$201&gt;=Project_Register!$J$16,MAX(0,Project_Register!$U$16-S44),MAX(0,Project_Register!$U$16-S44)/(Project_Register!$J$16-Assumptions!T$201+1))))</f>
        <v>0</v>
      </c>
      <c r="U18" s="67" t="n">
        <f aca="false">IF(U$5="A",Inputs_Actuals!U142,IF(Assumptions!U$201&lt;Project_Register!$I$16,0,IF(Assumptions!U$201&gt;=Project_Register!$J$16,MAX(0,Project_Register!$U$16-T44),MAX(0,Project_Register!$U$16-T44)/(Project_Register!$J$16-Assumptions!U$201+1))))</f>
        <v>0</v>
      </c>
      <c r="V18" s="67" t="n">
        <f aca="false">IF(V$5="A",Inputs_Actuals!V142,IF(Assumptions!V$201&lt;Project_Register!$I$16,0,IF(Assumptions!V$201&gt;=Project_Register!$J$16,MAX(0,Project_Register!$U$16-U44),MAX(0,Project_Register!$U$16-U44)/(Project_Register!$J$16-Assumptions!V$201+1))))</f>
        <v>0</v>
      </c>
      <c r="W18" s="67" t="n">
        <f aca="false">IF(W$5="A",Inputs_Actuals!W142,IF(Assumptions!W$201&lt;Project_Register!$I$16,0,IF(Assumptions!W$201&gt;=Project_Register!$J$16,MAX(0,Project_Register!$U$16-V44),MAX(0,Project_Register!$U$16-V44)/(Project_Register!$J$16-Assumptions!W$201+1))))</f>
        <v>0</v>
      </c>
      <c r="X18" s="67" t="n">
        <f aca="false">IF(X$5="A",Inputs_Actuals!X142,IF(Assumptions!X$201&lt;Project_Register!$I$16,0,IF(Assumptions!X$201&gt;=Project_Register!$J$16,MAX(0,Project_Register!$U$16-W44),MAX(0,Project_Register!$U$16-W44)/(Project_Register!$J$16-Assumptions!X$201+1))))</f>
        <v>0</v>
      </c>
      <c r="Y18" s="67" t="n">
        <f aca="false">IF(Y$5="A",Inputs_Actuals!Y142,IF(Assumptions!Y$201&lt;Project_Register!$I$16,0,IF(Assumptions!Y$201&gt;=Project_Register!$J$16,MAX(0,Project_Register!$U$16-X44),MAX(0,Project_Register!$U$16-X44)/(Project_Register!$J$16-Assumptions!Y$201+1))))</f>
        <v>0</v>
      </c>
      <c r="Z18" s="67" t="n">
        <f aca="false">IF(Z$5="A",Inputs_Actuals!Z142,IF(Assumptions!Z$201&lt;Project_Register!$I$16,0,IF(Assumptions!Z$201&gt;=Project_Register!$J$16,MAX(0,Project_Register!$U$16-Y44),MAX(0,Project_Register!$U$16-Y44)/(Project_Register!$J$16-Assumptions!Z$201+1))))</f>
        <v>0</v>
      </c>
      <c r="AA18" s="67" t="n">
        <f aca="false">IF(AA$5="A",Inputs_Actuals!AA142,IF(Assumptions!AA$201&lt;Project_Register!$I$16,0,IF(Assumptions!AA$201&gt;=Project_Register!$J$16,MAX(0,Project_Register!$U$16-Z44),MAX(0,Project_Register!$U$16-Z44)/(Project_Register!$J$16-Assumptions!AA$201+1))))</f>
        <v>0</v>
      </c>
      <c r="AB18" s="67" t="n">
        <f aca="false">IF(AB$5="A",Inputs_Actuals!AB142,IF(Assumptions!AB$201&lt;Project_Register!$I$16,0,IF(Assumptions!AB$201&gt;=Project_Register!$J$16,MAX(0,Project_Register!$U$16-AA44),MAX(0,Project_Register!$U$16-AA44)/(Project_Register!$J$16-Assumptions!AB$201+1))))</f>
        <v>0</v>
      </c>
    </row>
    <row r="19" customFormat="false" ht="15" hidden="false" customHeight="false" outlineLevel="0" collapsed="false">
      <c r="A19" s="27" t="s">
        <v>937</v>
      </c>
      <c r="B19" s="63"/>
      <c r="C19" s="66" t="n">
        <f aca="false">SUM(E19:P19)</f>
        <v>880</v>
      </c>
      <c r="D19" s="66" t="n">
        <f aca="false">SUM(Q19:AB19)</f>
        <v>0</v>
      </c>
      <c r="E19" s="67" t="n">
        <f aca="false">IF(E$5="A",Inputs_Actuals!E144,IF(Assumptions!E$201&lt;Project_Register!$I$17,0,IF(Assumptions!E$201&gt;=Project_Register!$J$17,MAX(0,Project_Register!$U$17-Project_Register!$M$17),MAX(0,Project_Register!$U$17-Project_Register!$M$17)/(Project_Register!$J$17-Assumptions!E$201+1))))</f>
        <v>120</v>
      </c>
      <c r="F19" s="67" t="n">
        <f aca="false">IF(F$5="A",Inputs_Actuals!F144,IF(Assumptions!F$201&lt;Project_Register!$I$17,0,IF(Assumptions!F$201&gt;=Project_Register!$J$17,MAX(0,Project_Register!$U$17-E45),MAX(0,Project_Register!$U$17-E45)/(Project_Register!$J$17-Assumptions!F$201+1))))</f>
        <v>160</v>
      </c>
      <c r="G19" s="67" t="n">
        <f aca="false">IF(G$5="A",Inputs_Actuals!G144,IF(Assumptions!G$201&lt;Project_Register!$I$17,0,IF(Assumptions!G$201&gt;=Project_Register!$J$17,MAX(0,Project_Register!$U$17-F45),MAX(0,Project_Register!$U$17-F45)/(Project_Register!$J$17-Assumptions!G$201+1))))</f>
        <v>170</v>
      </c>
      <c r="H19" s="67" t="n">
        <f aca="false">IF(H$5="A",Inputs_Actuals!H144,IF(Assumptions!H$201&lt;Project_Register!$I$17,0,IF(Assumptions!H$201&gt;=Project_Register!$J$17,MAX(0,Project_Register!$U$17-G45),MAX(0,Project_Register!$U$17-G45)/(Project_Register!$J$17-Assumptions!H$201+1))))</f>
        <v>160</v>
      </c>
      <c r="I19" s="67" t="n">
        <f aca="false">IF(I$5="A",Inputs_Actuals!I144,IF(Assumptions!I$201&lt;Project_Register!$I$17,0,IF(Assumptions!I$201&gt;=Project_Register!$J$17,MAX(0,Project_Register!$U$17-H45),MAX(0,Project_Register!$U$17-H45)/(Project_Register!$J$17-Assumptions!I$201+1))))</f>
        <v>150</v>
      </c>
      <c r="J19" s="67" t="n">
        <f aca="false">IF(J$5="A",Inputs_Actuals!J144,IF(Assumptions!J$201&lt;Project_Register!$I$17,0,IF(Assumptions!J$201&gt;=Project_Register!$J$17,MAX(0,Project_Register!$U$17-I45),MAX(0,Project_Register!$U$17-I45)/(Project_Register!$J$17-Assumptions!J$201+1))))</f>
        <v>120</v>
      </c>
      <c r="K19" s="67" t="n">
        <f aca="false">IF(K$5="A",Inputs_Actuals!K144,IF(Assumptions!K$201&lt;Project_Register!$I$17,0,IF(Assumptions!K$201&gt;=Project_Register!$J$17,MAX(0,Project_Register!$U$17-J45),MAX(0,Project_Register!$U$17-J45)/(Project_Register!$J$17-Assumptions!K$201+1))))</f>
        <v>0</v>
      </c>
      <c r="L19" s="67" t="n">
        <f aca="false">IF(L$5="A",Inputs_Actuals!L144,IF(Assumptions!L$201&lt;Project_Register!$I$17,0,IF(Assumptions!L$201&gt;=Project_Register!$J$17,MAX(0,Project_Register!$U$17-K45),MAX(0,Project_Register!$U$17-K45)/(Project_Register!$J$17-Assumptions!L$201+1))))</f>
        <v>0</v>
      </c>
      <c r="M19" s="67" t="n">
        <f aca="false">IF(M$5="A",Inputs_Actuals!M144,IF(Assumptions!M$201&lt;Project_Register!$I$17,0,IF(Assumptions!M$201&gt;=Project_Register!$J$17,MAX(0,Project_Register!$U$17-L45),MAX(0,Project_Register!$U$17-L45)/(Project_Register!$J$17-Assumptions!M$201+1))))</f>
        <v>0</v>
      </c>
      <c r="N19" s="67" t="n">
        <f aca="false">IF(N$5="A",Inputs_Actuals!N144,IF(Assumptions!N$201&lt;Project_Register!$I$17,0,IF(Assumptions!N$201&gt;=Project_Register!$J$17,MAX(0,Project_Register!$U$17-M45),MAX(0,Project_Register!$U$17-M45)/(Project_Register!$J$17-Assumptions!N$201+1))))</f>
        <v>0</v>
      </c>
      <c r="O19" s="67" t="n">
        <f aca="false">IF(O$5="A",Inputs_Actuals!O144,IF(Assumptions!O$201&lt;Project_Register!$I$17,0,IF(Assumptions!O$201&gt;=Project_Register!$J$17,MAX(0,Project_Register!$U$17-N45),MAX(0,Project_Register!$U$17-N45)/(Project_Register!$J$17-Assumptions!O$201+1))))</f>
        <v>0</v>
      </c>
      <c r="P19" s="67" t="n">
        <f aca="false">IF(P$5="A",Inputs_Actuals!P144,IF(Assumptions!P$201&lt;Project_Register!$I$17,0,IF(Assumptions!P$201&gt;=Project_Register!$J$17,MAX(0,Project_Register!$U$17-O45),MAX(0,Project_Register!$U$17-O45)/(Project_Register!$J$17-Assumptions!P$201+1))))</f>
        <v>0</v>
      </c>
      <c r="Q19" s="67" t="n">
        <f aca="false">IF(Q$5="A",Inputs_Actuals!Q144,IF(Assumptions!Q$201&lt;Project_Register!$I$17,0,IF(Assumptions!Q$201&gt;=Project_Register!$J$17,MAX(0,Project_Register!$U$17-P45),MAX(0,Project_Register!$U$17-P45)/(Project_Register!$J$17-Assumptions!Q$201+1))))</f>
        <v>0</v>
      </c>
      <c r="R19" s="67" t="n">
        <f aca="false">IF(R$5="A",Inputs_Actuals!R144,IF(Assumptions!R$201&lt;Project_Register!$I$17,0,IF(Assumptions!R$201&gt;=Project_Register!$J$17,MAX(0,Project_Register!$U$17-Q45),MAX(0,Project_Register!$U$17-Q45)/(Project_Register!$J$17-Assumptions!R$201+1))))</f>
        <v>0</v>
      </c>
      <c r="S19" s="67" t="n">
        <f aca="false">IF(S$5="A",Inputs_Actuals!S144,IF(Assumptions!S$201&lt;Project_Register!$I$17,0,IF(Assumptions!S$201&gt;=Project_Register!$J$17,MAX(0,Project_Register!$U$17-R45),MAX(0,Project_Register!$U$17-R45)/(Project_Register!$J$17-Assumptions!S$201+1))))</f>
        <v>0</v>
      </c>
      <c r="T19" s="67" t="n">
        <f aca="false">IF(T$5="A",Inputs_Actuals!T144,IF(Assumptions!T$201&lt;Project_Register!$I$17,0,IF(Assumptions!T$201&gt;=Project_Register!$J$17,MAX(0,Project_Register!$U$17-S45),MAX(0,Project_Register!$U$17-S45)/(Project_Register!$J$17-Assumptions!T$201+1))))</f>
        <v>0</v>
      </c>
      <c r="U19" s="67" t="n">
        <f aca="false">IF(U$5="A",Inputs_Actuals!U144,IF(Assumptions!U$201&lt;Project_Register!$I$17,0,IF(Assumptions!U$201&gt;=Project_Register!$J$17,MAX(0,Project_Register!$U$17-T45),MAX(0,Project_Register!$U$17-T45)/(Project_Register!$J$17-Assumptions!U$201+1))))</f>
        <v>0</v>
      </c>
      <c r="V19" s="67" t="n">
        <f aca="false">IF(V$5="A",Inputs_Actuals!V144,IF(Assumptions!V$201&lt;Project_Register!$I$17,0,IF(Assumptions!V$201&gt;=Project_Register!$J$17,MAX(0,Project_Register!$U$17-U45),MAX(0,Project_Register!$U$17-U45)/(Project_Register!$J$17-Assumptions!V$201+1))))</f>
        <v>0</v>
      </c>
      <c r="W19" s="67" t="n">
        <f aca="false">IF(W$5="A",Inputs_Actuals!W144,IF(Assumptions!W$201&lt;Project_Register!$I$17,0,IF(Assumptions!W$201&gt;=Project_Register!$J$17,MAX(0,Project_Register!$U$17-V45),MAX(0,Project_Register!$U$17-V45)/(Project_Register!$J$17-Assumptions!W$201+1))))</f>
        <v>0</v>
      </c>
      <c r="X19" s="67" t="n">
        <f aca="false">IF(X$5="A",Inputs_Actuals!X144,IF(Assumptions!X$201&lt;Project_Register!$I$17,0,IF(Assumptions!X$201&gt;=Project_Register!$J$17,MAX(0,Project_Register!$U$17-W45),MAX(0,Project_Register!$U$17-W45)/(Project_Register!$J$17-Assumptions!X$201+1))))</f>
        <v>0</v>
      </c>
      <c r="Y19" s="67" t="n">
        <f aca="false">IF(Y$5="A",Inputs_Actuals!Y144,IF(Assumptions!Y$201&lt;Project_Register!$I$17,0,IF(Assumptions!Y$201&gt;=Project_Register!$J$17,MAX(0,Project_Register!$U$17-X45),MAX(0,Project_Register!$U$17-X45)/(Project_Register!$J$17-Assumptions!Y$201+1))))</f>
        <v>0</v>
      </c>
      <c r="Z19" s="67" t="n">
        <f aca="false">IF(Z$5="A",Inputs_Actuals!Z144,IF(Assumptions!Z$201&lt;Project_Register!$I$17,0,IF(Assumptions!Z$201&gt;=Project_Register!$J$17,MAX(0,Project_Register!$U$17-Y45),MAX(0,Project_Register!$U$17-Y45)/(Project_Register!$J$17-Assumptions!Z$201+1))))</f>
        <v>0</v>
      </c>
      <c r="AA19" s="67" t="n">
        <f aca="false">IF(AA$5="A",Inputs_Actuals!AA144,IF(Assumptions!AA$201&lt;Project_Register!$I$17,0,IF(Assumptions!AA$201&gt;=Project_Register!$J$17,MAX(0,Project_Register!$U$17-Z45),MAX(0,Project_Register!$U$17-Z45)/(Project_Register!$J$17-Assumptions!AA$201+1))))</f>
        <v>0</v>
      </c>
      <c r="AB19" s="67" t="n">
        <f aca="false">IF(AB$5="A",Inputs_Actuals!AB144,IF(Assumptions!AB$201&lt;Project_Register!$I$17,0,IF(Assumptions!AB$201&gt;=Project_Register!$J$17,MAX(0,Project_Register!$U$17-AA45),MAX(0,Project_Register!$U$17-AA45)/(Project_Register!$J$17-Assumptions!AB$201+1))))</f>
        <v>0</v>
      </c>
    </row>
    <row r="20" customFormat="false" ht="15" hidden="false" customHeight="false" outlineLevel="0" collapsed="false">
      <c r="A20" s="27" t="s">
        <v>938</v>
      </c>
      <c r="B20" s="63"/>
      <c r="C20" s="66" t="n">
        <f aca="false">SUM(E20:P20)</f>
        <v>305</v>
      </c>
      <c r="D20" s="66" t="n">
        <f aca="false">SUM(Q20:AB20)</f>
        <v>0</v>
      </c>
      <c r="E20" s="67" t="n">
        <f aca="false">IF(E$5="A",Inputs_Actuals!E146,IF(Assumptions!E$201&lt;Project_Register!$I$18,0,IF(Assumptions!E$201&gt;=Project_Register!$J$18,MAX(0,Project_Register!$U$18-Project_Register!$M$18),MAX(0,Project_Register!$U$18-Project_Register!$M$18)/(Project_Register!$J$18-Assumptions!E$201+1))))</f>
        <v>0</v>
      </c>
      <c r="F20" s="67" t="n">
        <f aca="false">IF(F$5="A",Inputs_Actuals!F146,IF(Assumptions!F$201&lt;Project_Register!$I$18,0,IF(Assumptions!F$201&gt;=Project_Register!$J$18,MAX(0,Project_Register!$U$18-E46),MAX(0,Project_Register!$U$18-E46)/(Project_Register!$J$18-Assumptions!F$201+1))))</f>
        <v>0</v>
      </c>
      <c r="G20" s="67" t="n">
        <f aca="false">IF(G$5="A",Inputs_Actuals!G146,IF(Assumptions!G$201&lt;Project_Register!$I$18,0,IF(Assumptions!G$201&gt;=Project_Register!$J$18,MAX(0,Project_Register!$U$18-F46),MAX(0,Project_Register!$U$18-F46)/(Project_Register!$J$18-Assumptions!G$201+1))))</f>
        <v>0</v>
      </c>
      <c r="H20" s="67" t="n">
        <f aca="false">IF(H$5="A",Inputs_Actuals!H146,IF(Assumptions!H$201&lt;Project_Register!$I$18,0,IF(Assumptions!H$201&gt;=Project_Register!$J$18,MAX(0,Project_Register!$U$18-G46),MAX(0,Project_Register!$U$18-G46)/(Project_Register!$J$18-Assumptions!H$201+1))))</f>
        <v>0</v>
      </c>
      <c r="I20" s="67" t="n">
        <f aca="false">IF(I$5="A",Inputs_Actuals!I146,IF(Assumptions!I$201&lt;Project_Register!$I$18,0,IF(Assumptions!I$201&gt;=Project_Register!$J$18,MAX(0,Project_Register!$U$18-H46),MAX(0,Project_Register!$U$18-H46)/(Project_Register!$J$18-Assumptions!I$201+1))))</f>
        <v>90</v>
      </c>
      <c r="J20" s="67" t="n">
        <f aca="false">IF(J$5="A",Inputs_Actuals!J146,IF(Assumptions!J$201&lt;Project_Register!$I$18,0,IF(Assumptions!J$201&gt;=Project_Register!$J$18,MAX(0,Project_Register!$U$18-I46),MAX(0,Project_Register!$U$18-I46)/(Project_Register!$J$18-Assumptions!J$201+1))))</f>
        <v>120</v>
      </c>
      <c r="K20" s="67" t="n">
        <f aca="false">IF(K$5="A",Inputs_Actuals!K146,IF(Assumptions!K$201&lt;Project_Register!$I$18,0,IF(Assumptions!K$201&gt;=Project_Register!$J$18,MAX(0,Project_Register!$U$18-J46),MAX(0,Project_Register!$U$18-J46)/(Project_Register!$J$18-Assumptions!K$201+1))))</f>
        <v>95</v>
      </c>
      <c r="L20" s="67" t="n">
        <f aca="false">IF(L$5="A",Inputs_Actuals!L146,IF(Assumptions!L$201&lt;Project_Register!$I$18,0,IF(Assumptions!L$201&gt;=Project_Register!$J$18,MAX(0,Project_Register!$U$18-K46),MAX(0,Project_Register!$U$18-K46)/(Project_Register!$J$18-Assumptions!L$201+1))))</f>
        <v>0</v>
      </c>
      <c r="M20" s="67" t="n">
        <f aca="false">IF(M$5="A",Inputs_Actuals!M146,IF(Assumptions!M$201&lt;Project_Register!$I$18,0,IF(Assumptions!M$201&gt;=Project_Register!$J$18,MAX(0,Project_Register!$U$18-L46),MAX(0,Project_Register!$U$18-L46)/(Project_Register!$J$18-Assumptions!M$201+1))))</f>
        <v>0</v>
      </c>
      <c r="N20" s="67" t="n">
        <f aca="false">IF(N$5="A",Inputs_Actuals!N146,IF(Assumptions!N$201&lt;Project_Register!$I$18,0,IF(Assumptions!N$201&gt;=Project_Register!$J$18,MAX(0,Project_Register!$U$18-M46),MAX(0,Project_Register!$U$18-M46)/(Project_Register!$J$18-Assumptions!N$201+1))))</f>
        <v>0</v>
      </c>
      <c r="O20" s="67" t="n">
        <f aca="false">IF(O$5="A",Inputs_Actuals!O146,IF(Assumptions!O$201&lt;Project_Register!$I$18,0,IF(Assumptions!O$201&gt;=Project_Register!$J$18,MAX(0,Project_Register!$U$18-N46),MAX(0,Project_Register!$U$18-N46)/(Project_Register!$J$18-Assumptions!O$201+1))))</f>
        <v>0</v>
      </c>
      <c r="P20" s="67" t="n">
        <f aca="false">IF(P$5="A",Inputs_Actuals!P146,IF(Assumptions!P$201&lt;Project_Register!$I$18,0,IF(Assumptions!P$201&gt;=Project_Register!$J$18,MAX(0,Project_Register!$U$18-O46),MAX(0,Project_Register!$U$18-O46)/(Project_Register!$J$18-Assumptions!P$201+1))))</f>
        <v>0</v>
      </c>
      <c r="Q20" s="67" t="n">
        <f aca="false">IF(Q$5="A",Inputs_Actuals!Q146,IF(Assumptions!Q$201&lt;Project_Register!$I$18,0,IF(Assumptions!Q$201&gt;=Project_Register!$J$18,MAX(0,Project_Register!$U$18-P46),MAX(0,Project_Register!$U$18-P46)/(Project_Register!$J$18-Assumptions!Q$201+1))))</f>
        <v>0</v>
      </c>
      <c r="R20" s="67" t="n">
        <f aca="false">IF(R$5="A",Inputs_Actuals!R146,IF(Assumptions!R$201&lt;Project_Register!$I$18,0,IF(Assumptions!R$201&gt;=Project_Register!$J$18,MAX(0,Project_Register!$U$18-Q46),MAX(0,Project_Register!$U$18-Q46)/(Project_Register!$J$18-Assumptions!R$201+1))))</f>
        <v>0</v>
      </c>
      <c r="S20" s="67" t="n">
        <f aca="false">IF(S$5="A",Inputs_Actuals!S146,IF(Assumptions!S$201&lt;Project_Register!$I$18,0,IF(Assumptions!S$201&gt;=Project_Register!$J$18,MAX(0,Project_Register!$U$18-R46),MAX(0,Project_Register!$U$18-R46)/(Project_Register!$J$18-Assumptions!S$201+1))))</f>
        <v>0</v>
      </c>
      <c r="T20" s="67" t="n">
        <f aca="false">IF(T$5="A",Inputs_Actuals!T146,IF(Assumptions!T$201&lt;Project_Register!$I$18,0,IF(Assumptions!T$201&gt;=Project_Register!$J$18,MAX(0,Project_Register!$U$18-S46),MAX(0,Project_Register!$U$18-S46)/(Project_Register!$J$18-Assumptions!T$201+1))))</f>
        <v>0</v>
      </c>
      <c r="U20" s="67" t="n">
        <f aca="false">IF(U$5="A",Inputs_Actuals!U146,IF(Assumptions!U$201&lt;Project_Register!$I$18,0,IF(Assumptions!U$201&gt;=Project_Register!$J$18,MAX(0,Project_Register!$U$18-T46),MAX(0,Project_Register!$U$18-T46)/(Project_Register!$J$18-Assumptions!U$201+1))))</f>
        <v>0</v>
      </c>
      <c r="V20" s="67" t="n">
        <f aca="false">IF(V$5="A",Inputs_Actuals!V146,IF(Assumptions!V$201&lt;Project_Register!$I$18,0,IF(Assumptions!V$201&gt;=Project_Register!$J$18,MAX(0,Project_Register!$U$18-U46),MAX(0,Project_Register!$U$18-U46)/(Project_Register!$J$18-Assumptions!V$201+1))))</f>
        <v>0</v>
      </c>
      <c r="W20" s="67" t="n">
        <f aca="false">IF(W$5="A",Inputs_Actuals!W146,IF(Assumptions!W$201&lt;Project_Register!$I$18,0,IF(Assumptions!W$201&gt;=Project_Register!$J$18,MAX(0,Project_Register!$U$18-V46),MAX(0,Project_Register!$U$18-V46)/(Project_Register!$J$18-Assumptions!W$201+1))))</f>
        <v>0</v>
      </c>
      <c r="X20" s="67" t="n">
        <f aca="false">IF(X$5="A",Inputs_Actuals!X146,IF(Assumptions!X$201&lt;Project_Register!$I$18,0,IF(Assumptions!X$201&gt;=Project_Register!$J$18,MAX(0,Project_Register!$U$18-W46),MAX(0,Project_Register!$U$18-W46)/(Project_Register!$J$18-Assumptions!X$201+1))))</f>
        <v>0</v>
      </c>
      <c r="Y20" s="67" t="n">
        <f aca="false">IF(Y$5="A",Inputs_Actuals!Y146,IF(Assumptions!Y$201&lt;Project_Register!$I$18,0,IF(Assumptions!Y$201&gt;=Project_Register!$J$18,MAX(0,Project_Register!$U$18-X46),MAX(0,Project_Register!$U$18-X46)/(Project_Register!$J$18-Assumptions!Y$201+1))))</f>
        <v>0</v>
      </c>
      <c r="Z20" s="67" t="n">
        <f aca="false">IF(Z$5="A",Inputs_Actuals!Z146,IF(Assumptions!Z$201&lt;Project_Register!$I$18,0,IF(Assumptions!Z$201&gt;=Project_Register!$J$18,MAX(0,Project_Register!$U$18-Y46),MAX(0,Project_Register!$U$18-Y46)/(Project_Register!$J$18-Assumptions!Z$201+1))))</f>
        <v>0</v>
      </c>
      <c r="AA20" s="67" t="n">
        <f aca="false">IF(AA$5="A",Inputs_Actuals!AA146,IF(Assumptions!AA$201&lt;Project_Register!$I$18,0,IF(Assumptions!AA$201&gt;=Project_Register!$J$18,MAX(0,Project_Register!$U$18-Z46),MAX(0,Project_Register!$U$18-Z46)/(Project_Register!$J$18-Assumptions!AA$201+1))))</f>
        <v>0</v>
      </c>
      <c r="AB20" s="67" t="n">
        <f aca="false">IF(AB$5="A",Inputs_Actuals!AB146,IF(Assumptions!AB$201&lt;Project_Register!$I$18,0,IF(Assumptions!AB$201&gt;=Project_Register!$J$18,MAX(0,Project_Register!$U$18-AA46),MAX(0,Project_Register!$U$18-AA46)/(Project_Register!$J$18-Assumptions!AB$201+1))))</f>
        <v>0</v>
      </c>
    </row>
    <row r="21" customFormat="false" ht="15" hidden="false" customHeight="false" outlineLevel="0" collapsed="false">
      <c r="A21" s="21" t="s">
        <v>939</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row>
    <row r="22" customFormat="false" ht="15" hidden="false" customHeight="false" outlineLevel="0" collapsed="false">
      <c r="A22" s="27" t="s">
        <v>940</v>
      </c>
      <c r="B22" s="63"/>
      <c r="C22" s="66" t="n">
        <f aca="false">SUM(E22:P22)</f>
        <v>1350</v>
      </c>
      <c r="D22" s="66" t="n">
        <f aca="false">SUM(Q22:AB22)</f>
        <v>0</v>
      </c>
      <c r="E22" s="67" t="n">
        <f aca="false">IF(E$5="A",Inputs_Actuals!E125,IF(Assumptions!E$201&lt;Project_Register!$I$7,0,IF(Assumptions!E$201&gt;=Project_Register!$J$7,MAX(0,Project_Register!$V$7-Project_Register!$N$7),MAX(0,Project_Register!$V$7-Project_Register!$N$7)/(Project_Register!$J$7-Assumptions!E$201+1))))</f>
        <v>20</v>
      </c>
      <c r="F22" s="67" t="n">
        <f aca="false">IF(F$5="A",Inputs_Actuals!F125,IF(Assumptions!F$201&lt;Project_Register!$I$7,0,IF(Assumptions!F$201&gt;=Project_Register!$J$7,MAX(0,Project_Register!$V$7-E48),MAX(0,Project_Register!$V$7-E48)/(Project_Register!$J$7-Assumptions!F$201+1))))</f>
        <v>40</v>
      </c>
      <c r="G22" s="67" t="n">
        <f aca="false">IF(G$5="A",Inputs_Actuals!G125,IF(Assumptions!G$201&lt;Project_Register!$I$7,0,IF(Assumptions!G$201&gt;=Project_Register!$J$7,MAX(0,Project_Register!$V$7-F48),MAX(0,Project_Register!$V$7-F48)/(Project_Register!$J$7-Assumptions!G$201+1))))</f>
        <v>80</v>
      </c>
      <c r="H22" s="67" t="n">
        <f aca="false">IF(H$5="A",Inputs_Actuals!H125,IF(Assumptions!H$201&lt;Project_Register!$I$7,0,IF(Assumptions!H$201&gt;=Project_Register!$J$7,MAX(0,Project_Register!$V$7-G48),MAX(0,Project_Register!$V$7-G48)/(Project_Register!$J$7-Assumptions!H$201+1))))</f>
        <v>150</v>
      </c>
      <c r="I22" s="67" t="n">
        <f aca="false">IF(I$5="A",Inputs_Actuals!I125,IF(Assumptions!I$201&lt;Project_Register!$I$7,0,IF(Assumptions!I$201&gt;=Project_Register!$J$7,MAX(0,Project_Register!$V$7-H48),MAX(0,Project_Register!$V$7-H48)/(Project_Register!$J$7-Assumptions!I$201+1))))</f>
        <v>180</v>
      </c>
      <c r="J22" s="67" t="n">
        <f aca="false">IF(J$5="A",Inputs_Actuals!J125,IF(Assumptions!J$201&lt;Project_Register!$I$7,0,IF(Assumptions!J$201&gt;=Project_Register!$J$7,MAX(0,Project_Register!$V$7-I48),MAX(0,Project_Register!$V$7-I48)/(Project_Register!$J$7-Assumptions!J$201+1))))</f>
        <v>200</v>
      </c>
      <c r="K22" s="67" t="n">
        <f aca="false">IF(K$5="A",Inputs_Actuals!K125,IF(Assumptions!K$201&lt;Project_Register!$I$7,0,IF(Assumptions!K$201&gt;=Project_Register!$J$7,MAX(0,Project_Register!$V$7-J48),MAX(0,Project_Register!$V$7-J48)/(Project_Register!$J$7-Assumptions!K$201+1))))</f>
        <v>190</v>
      </c>
      <c r="L22" s="67" t="n">
        <f aca="false">IF(L$5="A",Inputs_Actuals!L125,IF(Assumptions!L$201&lt;Project_Register!$I$7,0,IF(Assumptions!L$201&gt;=Project_Register!$J$7,MAX(0,Project_Register!$V$7-K48),MAX(0,Project_Register!$V$7-K48)/(Project_Register!$J$7-Assumptions!L$201+1))))</f>
        <v>120</v>
      </c>
      <c r="M22" s="67" t="n">
        <f aca="false">IF(M$5="A",Inputs_Actuals!M125,IF(Assumptions!M$201&lt;Project_Register!$I$7,0,IF(Assumptions!M$201&gt;=Project_Register!$J$7,MAX(0,Project_Register!$V$7-L48),MAX(0,Project_Register!$V$7-L48)/(Project_Register!$J$7-Assumptions!M$201+1))))</f>
        <v>123.333333333333</v>
      </c>
      <c r="N22" s="67" t="n">
        <f aca="false">IF(N$5="A",Inputs_Actuals!N125,IF(Assumptions!N$201&lt;Project_Register!$I$7,0,IF(Assumptions!N$201&gt;=Project_Register!$J$7,MAX(0,Project_Register!$V$7-M48),MAX(0,Project_Register!$V$7-M48)/(Project_Register!$J$7-Assumptions!N$201+1))))</f>
        <v>123.333333333333</v>
      </c>
      <c r="O22" s="67" t="n">
        <f aca="false">IF(O$5="A",Inputs_Actuals!O125,IF(Assumptions!O$201&lt;Project_Register!$I$7,0,IF(Assumptions!O$201&gt;=Project_Register!$J$7,MAX(0,Project_Register!$V$7-N48),MAX(0,Project_Register!$V$7-N48)/(Project_Register!$J$7-Assumptions!O$201+1))))</f>
        <v>123.333333333333</v>
      </c>
      <c r="P22" s="67" t="n">
        <f aca="false">IF(P$5="A",Inputs_Actuals!P125,IF(Assumptions!P$201&lt;Project_Register!$I$7,0,IF(Assumptions!P$201&gt;=Project_Register!$J$7,MAX(0,Project_Register!$V$7-O48),MAX(0,Project_Register!$V$7-O48)/(Project_Register!$J$7-Assumptions!P$201+1))))</f>
        <v>0</v>
      </c>
      <c r="Q22" s="67" t="n">
        <f aca="false">IF(Q$5="A",Inputs_Actuals!Q125,IF(Assumptions!Q$201&lt;Project_Register!$I$7,0,IF(Assumptions!Q$201&gt;=Project_Register!$J$7,MAX(0,Project_Register!$V$7-P48),MAX(0,Project_Register!$V$7-P48)/(Project_Register!$J$7-Assumptions!Q$201+1))))</f>
        <v>0</v>
      </c>
      <c r="R22" s="67" t="n">
        <f aca="false">IF(R$5="A",Inputs_Actuals!R125,IF(Assumptions!R$201&lt;Project_Register!$I$7,0,IF(Assumptions!R$201&gt;=Project_Register!$J$7,MAX(0,Project_Register!$V$7-Q48),MAX(0,Project_Register!$V$7-Q48)/(Project_Register!$J$7-Assumptions!R$201+1))))</f>
        <v>0</v>
      </c>
      <c r="S22" s="67" t="n">
        <f aca="false">IF(S$5="A",Inputs_Actuals!S125,IF(Assumptions!S$201&lt;Project_Register!$I$7,0,IF(Assumptions!S$201&gt;=Project_Register!$J$7,MAX(0,Project_Register!$V$7-R48),MAX(0,Project_Register!$V$7-R48)/(Project_Register!$J$7-Assumptions!S$201+1))))</f>
        <v>0</v>
      </c>
      <c r="T22" s="67" t="n">
        <f aca="false">IF(T$5="A",Inputs_Actuals!T125,IF(Assumptions!T$201&lt;Project_Register!$I$7,0,IF(Assumptions!T$201&gt;=Project_Register!$J$7,MAX(0,Project_Register!$V$7-S48),MAX(0,Project_Register!$V$7-S48)/(Project_Register!$J$7-Assumptions!T$201+1))))</f>
        <v>0</v>
      </c>
      <c r="U22" s="67" t="n">
        <f aca="false">IF(U$5="A",Inputs_Actuals!U125,IF(Assumptions!U$201&lt;Project_Register!$I$7,0,IF(Assumptions!U$201&gt;=Project_Register!$J$7,MAX(0,Project_Register!$V$7-T48),MAX(0,Project_Register!$V$7-T48)/(Project_Register!$J$7-Assumptions!U$201+1))))</f>
        <v>0</v>
      </c>
      <c r="V22" s="67" t="n">
        <f aca="false">IF(V$5="A",Inputs_Actuals!V125,IF(Assumptions!V$201&lt;Project_Register!$I$7,0,IF(Assumptions!V$201&gt;=Project_Register!$J$7,MAX(0,Project_Register!$V$7-U48),MAX(0,Project_Register!$V$7-U48)/(Project_Register!$J$7-Assumptions!V$201+1))))</f>
        <v>0</v>
      </c>
      <c r="W22" s="67" t="n">
        <f aca="false">IF(W$5="A",Inputs_Actuals!W125,IF(Assumptions!W$201&lt;Project_Register!$I$7,0,IF(Assumptions!W$201&gt;=Project_Register!$J$7,MAX(0,Project_Register!$V$7-V48),MAX(0,Project_Register!$V$7-V48)/(Project_Register!$J$7-Assumptions!W$201+1))))</f>
        <v>0</v>
      </c>
      <c r="X22" s="67" t="n">
        <f aca="false">IF(X$5="A",Inputs_Actuals!X125,IF(Assumptions!X$201&lt;Project_Register!$I$7,0,IF(Assumptions!X$201&gt;=Project_Register!$J$7,MAX(0,Project_Register!$V$7-W48),MAX(0,Project_Register!$V$7-W48)/(Project_Register!$J$7-Assumptions!X$201+1))))</f>
        <v>0</v>
      </c>
      <c r="Y22" s="67" t="n">
        <f aca="false">IF(Y$5="A",Inputs_Actuals!Y125,IF(Assumptions!Y$201&lt;Project_Register!$I$7,0,IF(Assumptions!Y$201&gt;=Project_Register!$J$7,MAX(0,Project_Register!$V$7-X48),MAX(0,Project_Register!$V$7-X48)/(Project_Register!$J$7-Assumptions!Y$201+1))))</f>
        <v>0</v>
      </c>
      <c r="Z22" s="67" t="n">
        <f aca="false">IF(Z$5="A",Inputs_Actuals!Z125,IF(Assumptions!Z$201&lt;Project_Register!$I$7,0,IF(Assumptions!Z$201&gt;=Project_Register!$J$7,MAX(0,Project_Register!$V$7-Y48),MAX(0,Project_Register!$V$7-Y48)/(Project_Register!$J$7-Assumptions!Z$201+1))))</f>
        <v>0</v>
      </c>
      <c r="AA22" s="67" t="n">
        <f aca="false">IF(AA$5="A",Inputs_Actuals!AA125,IF(Assumptions!AA$201&lt;Project_Register!$I$7,0,IF(Assumptions!AA$201&gt;=Project_Register!$J$7,MAX(0,Project_Register!$V$7-Z48),MAX(0,Project_Register!$V$7-Z48)/(Project_Register!$J$7-Assumptions!AA$201+1))))</f>
        <v>0</v>
      </c>
      <c r="AB22" s="67" t="n">
        <f aca="false">IF(AB$5="A",Inputs_Actuals!AB125,IF(Assumptions!AB$201&lt;Project_Register!$I$7,0,IF(Assumptions!AB$201&gt;=Project_Register!$J$7,MAX(0,Project_Register!$V$7-AA48),MAX(0,Project_Register!$V$7-AA48)/(Project_Register!$J$7-Assumptions!AB$201+1))))</f>
        <v>0</v>
      </c>
    </row>
    <row r="23" customFormat="false" ht="15" hidden="false" customHeight="false" outlineLevel="0" collapsed="false">
      <c r="A23" s="27" t="s">
        <v>941</v>
      </c>
      <c r="B23" s="63"/>
      <c r="C23" s="66" t="n">
        <f aca="false">SUM(E23:P23)</f>
        <v>0</v>
      </c>
      <c r="D23" s="66" t="n">
        <f aca="false">SUM(Q23:AB23)</f>
        <v>0</v>
      </c>
      <c r="E23" s="67" t="n">
        <f aca="false">IF(E$5="A",Inputs_Actuals!E127,IF(Assumptions!E$201&lt;Project_Register!$I$8,0,IF(Assumptions!E$201&gt;=Project_Register!$J$8,MAX(0,Project_Register!$V$8-Project_Register!$N$8),MAX(0,Project_Register!$V$8-Project_Register!$N$8)/(Project_Register!$J$8-Assumptions!E$201+1))))</f>
        <v>0</v>
      </c>
      <c r="F23" s="67" t="n">
        <f aca="false">IF(F$5="A",Inputs_Actuals!F127,IF(Assumptions!F$201&lt;Project_Register!$I$8,0,IF(Assumptions!F$201&gt;=Project_Register!$J$8,MAX(0,Project_Register!$V$8-E49),MAX(0,Project_Register!$V$8-E49)/(Project_Register!$J$8-Assumptions!F$201+1))))</f>
        <v>0</v>
      </c>
      <c r="G23" s="67" t="n">
        <f aca="false">IF(G$5="A",Inputs_Actuals!G127,IF(Assumptions!G$201&lt;Project_Register!$I$8,0,IF(Assumptions!G$201&gt;=Project_Register!$J$8,MAX(0,Project_Register!$V$8-F49),MAX(0,Project_Register!$V$8-F49)/(Project_Register!$J$8-Assumptions!G$201+1))))</f>
        <v>0</v>
      </c>
      <c r="H23" s="67" t="n">
        <f aca="false">IF(H$5="A",Inputs_Actuals!H127,IF(Assumptions!H$201&lt;Project_Register!$I$8,0,IF(Assumptions!H$201&gt;=Project_Register!$J$8,MAX(0,Project_Register!$V$8-G49),MAX(0,Project_Register!$V$8-G49)/(Project_Register!$J$8-Assumptions!H$201+1))))</f>
        <v>0</v>
      </c>
      <c r="I23" s="67" t="n">
        <f aca="false">IF(I$5="A",Inputs_Actuals!I127,IF(Assumptions!I$201&lt;Project_Register!$I$8,0,IF(Assumptions!I$201&gt;=Project_Register!$J$8,MAX(0,Project_Register!$V$8-H49),MAX(0,Project_Register!$V$8-H49)/(Project_Register!$J$8-Assumptions!I$201+1))))</f>
        <v>0</v>
      </c>
      <c r="J23" s="67" t="n">
        <f aca="false">IF(J$5="A",Inputs_Actuals!J127,IF(Assumptions!J$201&lt;Project_Register!$I$8,0,IF(Assumptions!J$201&gt;=Project_Register!$J$8,MAX(0,Project_Register!$V$8-I49),MAX(0,Project_Register!$V$8-I49)/(Project_Register!$J$8-Assumptions!J$201+1))))</f>
        <v>0</v>
      </c>
      <c r="K23" s="67" t="n">
        <f aca="false">IF(K$5="A",Inputs_Actuals!K127,IF(Assumptions!K$201&lt;Project_Register!$I$8,0,IF(Assumptions!K$201&gt;=Project_Register!$J$8,MAX(0,Project_Register!$V$8-J49),MAX(0,Project_Register!$V$8-J49)/(Project_Register!$J$8-Assumptions!K$201+1))))</f>
        <v>0</v>
      </c>
      <c r="L23" s="67" t="n">
        <f aca="false">IF(L$5="A",Inputs_Actuals!L127,IF(Assumptions!L$201&lt;Project_Register!$I$8,0,IF(Assumptions!L$201&gt;=Project_Register!$J$8,MAX(0,Project_Register!$V$8-K49),MAX(0,Project_Register!$V$8-K49)/(Project_Register!$J$8-Assumptions!L$201+1))))</f>
        <v>0</v>
      </c>
      <c r="M23" s="67" t="n">
        <f aca="false">IF(M$5="A",Inputs_Actuals!M127,IF(Assumptions!M$201&lt;Project_Register!$I$8,0,IF(Assumptions!M$201&gt;=Project_Register!$J$8,MAX(0,Project_Register!$V$8-L49),MAX(0,Project_Register!$V$8-L49)/(Project_Register!$J$8-Assumptions!M$201+1))))</f>
        <v>0</v>
      </c>
      <c r="N23" s="67" t="n">
        <f aca="false">IF(N$5="A",Inputs_Actuals!N127,IF(Assumptions!N$201&lt;Project_Register!$I$8,0,IF(Assumptions!N$201&gt;=Project_Register!$J$8,MAX(0,Project_Register!$V$8-M49),MAX(0,Project_Register!$V$8-M49)/(Project_Register!$J$8-Assumptions!N$201+1))))</f>
        <v>0</v>
      </c>
      <c r="O23" s="67" t="n">
        <f aca="false">IF(O$5="A",Inputs_Actuals!O127,IF(Assumptions!O$201&lt;Project_Register!$I$8,0,IF(Assumptions!O$201&gt;=Project_Register!$J$8,MAX(0,Project_Register!$V$8-N49),MAX(0,Project_Register!$V$8-N49)/(Project_Register!$J$8-Assumptions!O$201+1))))</f>
        <v>0</v>
      </c>
      <c r="P23" s="67" t="n">
        <f aca="false">IF(P$5="A",Inputs_Actuals!P127,IF(Assumptions!P$201&lt;Project_Register!$I$8,0,IF(Assumptions!P$201&gt;=Project_Register!$J$8,MAX(0,Project_Register!$V$8-O49),MAX(0,Project_Register!$V$8-O49)/(Project_Register!$J$8-Assumptions!P$201+1))))</f>
        <v>0</v>
      </c>
      <c r="Q23" s="67" t="n">
        <f aca="false">IF(Q$5="A",Inputs_Actuals!Q127,IF(Assumptions!Q$201&lt;Project_Register!$I$8,0,IF(Assumptions!Q$201&gt;=Project_Register!$J$8,MAX(0,Project_Register!$V$8-P49),MAX(0,Project_Register!$V$8-P49)/(Project_Register!$J$8-Assumptions!Q$201+1))))</f>
        <v>0</v>
      </c>
      <c r="R23" s="67" t="n">
        <f aca="false">IF(R$5="A",Inputs_Actuals!R127,IF(Assumptions!R$201&lt;Project_Register!$I$8,0,IF(Assumptions!R$201&gt;=Project_Register!$J$8,MAX(0,Project_Register!$V$8-Q49),MAX(0,Project_Register!$V$8-Q49)/(Project_Register!$J$8-Assumptions!R$201+1))))</f>
        <v>0</v>
      </c>
      <c r="S23" s="67" t="n">
        <f aca="false">IF(S$5="A",Inputs_Actuals!S127,IF(Assumptions!S$201&lt;Project_Register!$I$8,0,IF(Assumptions!S$201&gt;=Project_Register!$J$8,MAX(0,Project_Register!$V$8-R49),MAX(0,Project_Register!$V$8-R49)/(Project_Register!$J$8-Assumptions!S$201+1))))</f>
        <v>0</v>
      </c>
      <c r="T23" s="67" t="n">
        <f aca="false">IF(T$5="A",Inputs_Actuals!T127,IF(Assumptions!T$201&lt;Project_Register!$I$8,0,IF(Assumptions!T$201&gt;=Project_Register!$J$8,MAX(0,Project_Register!$V$8-S49),MAX(0,Project_Register!$V$8-S49)/(Project_Register!$J$8-Assumptions!T$201+1))))</f>
        <v>0</v>
      </c>
      <c r="U23" s="67" t="n">
        <f aca="false">IF(U$5="A",Inputs_Actuals!U127,IF(Assumptions!U$201&lt;Project_Register!$I$8,0,IF(Assumptions!U$201&gt;=Project_Register!$J$8,MAX(0,Project_Register!$V$8-T49),MAX(0,Project_Register!$V$8-T49)/(Project_Register!$J$8-Assumptions!U$201+1))))</f>
        <v>0</v>
      </c>
      <c r="V23" s="67" t="n">
        <f aca="false">IF(V$5="A",Inputs_Actuals!V127,IF(Assumptions!V$201&lt;Project_Register!$I$8,0,IF(Assumptions!V$201&gt;=Project_Register!$J$8,MAX(0,Project_Register!$V$8-U49),MAX(0,Project_Register!$V$8-U49)/(Project_Register!$J$8-Assumptions!V$201+1))))</f>
        <v>0</v>
      </c>
      <c r="W23" s="67" t="n">
        <f aca="false">IF(W$5="A",Inputs_Actuals!W127,IF(Assumptions!W$201&lt;Project_Register!$I$8,0,IF(Assumptions!W$201&gt;=Project_Register!$J$8,MAX(0,Project_Register!$V$8-V49),MAX(0,Project_Register!$V$8-V49)/(Project_Register!$J$8-Assumptions!W$201+1))))</f>
        <v>0</v>
      </c>
      <c r="X23" s="67" t="n">
        <f aca="false">IF(X$5="A",Inputs_Actuals!X127,IF(Assumptions!X$201&lt;Project_Register!$I$8,0,IF(Assumptions!X$201&gt;=Project_Register!$J$8,MAX(0,Project_Register!$V$8-W49),MAX(0,Project_Register!$V$8-W49)/(Project_Register!$J$8-Assumptions!X$201+1))))</f>
        <v>0</v>
      </c>
      <c r="Y23" s="67" t="n">
        <f aca="false">IF(Y$5="A",Inputs_Actuals!Y127,IF(Assumptions!Y$201&lt;Project_Register!$I$8,0,IF(Assumptions!Y$201&gt;=Project_Register!$J$8,MAX(0,Project_Register!$V$8-X49),MAX(0,Project_Register!$V$8-X49)/(Project_Register!$J$8-Assumptions!Y$201+1))))</f>
        <v>0</v>
      </c>
      <c r="Z23" s="67" t="n">
        <f aca="false">IF(Z$5="A",Inputs_Actuals!Z127,IF(Assumptions!Z$201&lt;Project_Register!$I$8,0,IF(Assumptions!Z$201&gt;=Project_Register!$J$8,MAX(0,Project_Register!$V$8-Y49),MAX(0,Project_Register!$V$8-Y49)/(Project_Register!$J$8-Assumptions!Z$201+1))))</f>
        <v>0</v>
      </c>
      <c r="AA23" s="67" t="n">
        <f aca="false">IF(AA$5="A",Inputs_Actuals!AA127,IF(Assumptions!AA$201&lt;Project_Register!$I$8,0,IF(Assumptions!AA$201&gt;=Project_Register!$J$8,MAX(0,Project_Register!$V$8-Z49),MAX(0,Project_Register!$V$8-Z49)/(Project_Register!$J$8-Assumptions!AA$201+1))))</f>
        <v>0</v>
      </c>
      <c r="AB23" s="67" t="n">
        <f aca="false">IF(AB$5="A",Inputs_Actuals!AB127,IF(Assumptions!AB$201&lt;Project_Register!$I$8,0,IF(Assumptions!AB$201&gt;=Project_Register!$J$8,MAX(0,Project_Register!$V$8-AA49),MAX(0,Project_Register!$V$8-AA49)/(Project_Register!$J$8-Assumptions!AB$201+1))))</f>
        <v>0</v>
      </c>
    </row>
    <row r="24" customFormat="false" ht="15" hidden="false" customHeight="false" outlineLevel="0" collapsed="false">
      <c r="A24" s="27" t="s">
        <v>942</v>
      </c>
      <c r="B24" s="63"/>
      <c r="C24" s="66" t="n">
        <f aca="false">SUM(E24:P24)</f>
        <v>0</v>
      </c>
      <c r="D24" s="66" t="n">
        <f aca="false">SUM(Q24:AB24)</f>
        <v>0</v>
      </c>
      <c r="E24" s="67" t="n">
        <f aca="false">IF(E$5="A",Inputs_Actuals!E129,IF(Assumptions!E$201&lt;Project_Register!$I$9,0,IF(Assumptions!E$201&gt;=Project_Register!$J$9,MAX(0,Project_Register!$V$9-Project_Register!$N$9),MAX(0,Project_Register!$V$9-Project_Register!$N$9)/(Project_Register!$J$9-Assumptions!E$201+1))))</f>
        <v>0</v>
      </c>
      <c r="F24" s="67" t="n">
        <f aca="false">IF(F$5="A",Inputs_Actuals!F129,IF(Assumptions!F$201&lt;Project_Register!$I$9,0,IF(Assumptions!F$201&gt;=Project_Register!$J$9,MAX(0,Project_Register!$V$9-E50),MAX(0,Project_Register!$V$9-E50)/(Project_Register!$J$9-Assumptions!F$201+1))))</f>
        <v>0</v>
      </c>
      <c r="G24" s="67" t="n">
        <f aca="false">IF(G$5="A",Inputs_Actuals!G129,IF(Assumptions!G$201&lt;Project_Register!$I$9,0,IF(Assumptions!G$201&gt;=Project_Register!$J$9,MAX(0,Project_Register!$V$9-F50),MAX(0,Project_Register!$V$9-F50)/(Project_Register!$J$9-Assumptions!G$201+1))))</f>
        <v>0</v>
      </c>
      <c r="H24" s="67" t="n">
        <f aca="false">IF(H$5="A",Inputs_Actuals!H129,IF(Assumptions!H$201&lt;Project_Register!$I$9,0,IF(Assumptions!H$201&gt;=Project_Register!$J$9,MAX(0,Project_Register!$V$9-G50),MAX(0,Project_Register!$V$9-G50)/(Project_Register!$J$9-Assumptions!H$201+1))))</f>
        <v>0</v>
      </c>
      <c r="I24" s="67" t="n">
        <f aca="false">IF(I$5="A",Inputs_Actuals!I129,IF(Assumptions!I$201&lt;Project_Register!$I$9,0,IF(Assumptions!I$201&gt;=Project_Register!$J$9,MAX(0,Project_Register!$V$9-H50),MAX(0,Project_Register!$V$9-H50)/(Project_Register!$J$9-Assumptions!I$201+1))))</f>
        <v>0</v>
      </c>
      <c r="J24" s="67" t="n">
        <f aca="false">IF(J$5="A",Inputs_Actuals!J129,IF(Assumptions!J$201&lt;Project_Register!$I$9,0,IF(Assumptions!J$201&gt;=Project_Register!$J$9,MAX(0,Project_Register!$V$9-I50),MAX(0,Project_Register!$V$9-I50)/(Project_Register!$J$9-Assumptions!J$201+1))))</f>
        <v>0</v>
      </c>
      <c r="K24" s="67" t="n">
        <f aca="false">IF(K$5="A",Inputs_Actuals!K129,IF(Assumptions!K$201&lt;Project_Register!$I$9,0,IF(Assumptions!K$201&gt;=Project_Register!$J$9,MAX(0,Project_Register!$V$9-J50),MAX(0,Project_Register!$V$9-J50)/(Project_Register!$J$9-Assumptions!K$201+1))))</f>
        <v>0</v>
      </c>
      <c r="L24" s="67" t="n">
        <f aca="false">IF(L$5="A",Inputs_Actuals!L129,IF(Assumptions!L$201&lt;Project_Register!$I$9,0,IF(Assumptions!L$201&gt;=Project_Register!$J$9,MAX(0,Project_Register!$V$9-K50),MAX(0,Project_Register!$V$9-K50)/(Project_Register!$J$9-Assumptions!L$201+1))))</f>
        <v>0</v>
      </c>
      <c r="M24" s="67" t="n">
        <f aca="false">IF(M$5="A",Inputs_Actuals!M129,IF(Assumptions!M$201&lt;Project_Register!$I$9,0,IF(Assumptions!M$201&gt;=Project_Register!$J$9,MAX(0,Project_Register!$V$9-L50),MAX(0,Project_Register!$V$9-L50)/(Project_Register!$J$9-Assumptions!M$201+1))))</f>
        <v>0</v>
      </c>
      <c r="N24" s="67" t="n">
        <f aca="false">IF(N$5="A",Inputs_Actuals!N129,IF(Assumptions!N$201&lt;Project_Register!$I$9,0,IF(Assumptions!N$201&gt;=Project_Register!$J$9,MAX(0,Project_Register!$V$9-M50),MAX(0,Project_Register!$V$9-M50)/(Project_Register!$J$9-Assumptions!N$201+1))))</f>
        <v>0</v>
      </c>
      <c r="O24" s="67" t="n">
        <f aca="false">IF(O$5="A",Inputs_Actuals!O129,IF(Assumptions!O$201&lt;Project_Register!$I$9,0,IF(Assumptions!O$201&gt;=Project_Register!$J$9,MAX(0,Project_Register!$V$9-N50),MAX(0,Project_Register!$V$9-N50)/(Project_Register!$J$9-Assumptions!O$201+1))))</f>
        <v>0</v>
      </c>
      <c r="P24" s="67" t="n">
        <f aca="false">IF(P$5="A",Inputs_Actuals!P129,IF(Assumptions!P$201&lt;Project_Register!$I$9,0,IF(Assumptions!P$201&gt;=Project_Register!$J$9,MAX(0,Project_Register!$V$9-O50),MAX(0,Project_Register!$V$9-O50)/(Project_Register!$J$9-Assumptions!P$201+1))))</f>
        <v>0</v>
      </c>
      <c r="Q24" s="67" t="n">
        <f aca="false">IF(Q$5="A",Inputs_Actuals!Q129,IF(Assumptions!Q$201&lt;Project_Register!$I$9,0,IF(Assumptions!Q$201&gt;=Project_Register!$J$9,MAX(0,Project_Register!$V$9-P50),MAX(0,Project_Register!$V$9-P50)/(Project_Register!$J$9-Assumptions!Q$201+1))))</f>
        <v>0</v>
      </c>
      <c r="R24" s="67" t="n">
        <f aca="false">IF(R$5="A",Inputs_Actuals!R129,IF(Assumptions!R$201&lt;Project_Register!$I$9,0,IF(Assumptions!R$201&gt;=Project_Register!$J$9,MAX(0,Project_Register!$V$9-Q50),MAX(0,Project_Register!$V$9-Q50)/(Project_Register!$J$9-Assumptions!R$201+1))))</f>
        <v>0</v>
      </c>
      <c r="S24" s="67" t="n">
        <f aca="false">IF(S$5="A",Inputs_Actuals!S129,IF(Assumptions!S$201&lt;Project_Register!$I$9,0,IF(Assumptions!S$201&gt;=Project_Register!$J$9,MAX(0,Project_Register!$V$9-R50),MAX(0,Project_Register!$V$9-R50)/(Project_Register!$J$9-Assumptions!S$201+1))))</f>
        <v>0</v>
      </c>
      <c r="T24" s="67" t="n">
        <f aca="false">IF(T$5="A",Inputs_Actuals!T129,IF(Assumptions!T$201&lt;Project_Register!$I$9,0,IF(Assumptions!T$201&gt;=Project_Register!$J$9,MAX(0,Project_Register!$V$9-S50),MAX(0,Project_Register!$V$9-S50)/(Project_Register!$J$9-Assumptions!T$201+1))))</f>
        <v>0</v>
      </c>
      <c r="U24" s="67" t="n">
        <f aca="false">IF(U$5="A",Inputs_Actuals!U129,IF(Assumptions!U$201&lt;Project_Register!$I$9,0,IF(Assumptions!U$201&gt;=Project_Register!$J$9,MAX(0,Project_Register!$V$9-T50),MAX(0,Project_Register!$V$9-T50)/(Project_Register!$J$9-Assumptions!U$201+1))))</f>
        <v>0</v>
      </c>
      <c r="V24" s="67" t="n">
        <f aca="false">IF(V$5="A",Inputs_Actuals!V129,IF(Assumptions!V$201&lt;Project_Register!$I$9,0,IF(Assumptions!V$201&gt;=Project_Register!$J$9,MAX(0,Project_Register!$V$9-U50),MAX(0,Project_Register!$V$9-U50)/(Project_Register!$J$9-Assumptions!V$201+1))))</f>
        <v>0</v>
      </c>
      <c r="W24" s="67" t="n">
        <f aca="false">IF(W$5="A",Inputs_Actuals!W129,IF(Assumptions!W$201&lt;Project_Register!$I$9,0,IF(Assumptions!W$201&gt;=Project_Register!$J$9,MAX(0,Project_Register!$V$9-V50),MAX(0,Project_Register!$V$9-V50)/(Project_Register!$J$9-Assumptions!W$201+1))))</f>
        <v>0</v>
      </c>
      <c r="X24" s="67" t="n">
        <f aca="false">IF(X$5="A",Inputs_Actuals!X129,IF(Assumptions!X$201&lt;Project_Register!$I$9,0,IF(Assumptions!X$201&gt;=Project_Register!$J$9,MAX(0,Project_Register!$V$9-W50),MAX(0,Project_Register!$V$9-W50)/(Project_Register!$J$9-Assumptions!X$201+1))))</f>
        <v>0</v>
      </c>
      <c r="Y24" s="67" t="n">
        <f aca="false">IF(Y$5="A",Inputs_Actuals!Y129,IF(Assumptions!Y$201&lt;Project_Register!$I$9,0,IF(Assumptions!Y$201&gt;=Project_Register!$J$9,MAX(0,Project_Register!$V$9-X50),MAX(0,Project_Register!$V$9-X50)/(Project_Register!$J$9-Assumptions!Y$201+1))))</f>
        <v>0</v>
      </c>
      <c r="Z24" s="67" t="n">
        <f aca="false">IF(Z$5="A",Inputs_Actuals!Z129,IF(Assumptions!Z$201&lt;Project_Register!$I$9,0,IF(Assumptions!Z$201&gt;=Project_Register!$J$9,MAX(0,Project_Register!$V$9-Y50),MAX(0,Project_Register!$V$9-Y50)/(Project_Register!$J$9-Assumptions!Z$201+1))))</f>
        <v>0</v>
      </c>
      <c r="AA24" s="67" t="n">
        <f aca="false">IF(AA$5="A",Inputs_Actuals!AA129,IF(Assumptions!AA$201&lt;Project_Register!$I$9,0,IF(Assumptions!AA$201&gt;=Project_Register!$J$9,MAX(0,Project_Register!$V$9-Z50),MAX(0,Project_Register!$V$9-Z50)/(Project_Register!$J$9-Assumptions!AA$201+1))))</f>
        <v>0</v>
      </c>
      <c r="AB24" s="67" t="n">
        <f aca="false">IF(AB$5="A",Inputs_Actuals!AB129,IF(Assumptions!AB$201&lt;Project_Register!$I$9,0,IF(Assumptions!AB$201&gt;=Project_Register!$J$9,MAX(0,Project_Register!$V$9-AA50),MAX(0,Project_Register!$V$9-AA50)/(Project_Register!$J$9-Assumptions!AB$201+1))))</f>
        <v>0</v>
      </c>
    </row>
    <row r="25" customFormat="false" ht="15" hidden="false" customHeight="false" outlineLevel="0" collapsed="false">
      <c r="A25" s="27" t="s">
        <v>943</v>
      </c>
      <c r="B25" s="63"/>
      <c r="C25" s="66" t="n">
        <f aca="false">SUM(E25:P25)</f>
        <v>0</v>
      </c>
      <c r="D25" s="66" t="n">
        <f aca="false">SUM(Q25:AB25)</f>
        <v>0</v>
      </c>
      <c r="E25" s="67" t="n">
        <f aca="false">IF(E$5="A",Inputs_Actuals!E131,IF(Assumptions!E$201&lt;Project_Register!$I$10,0,IF(Assumptions!E$201&gt;=Project_Register!$J$10,MAX(0,Project_Register!$V$10-Project_Register!$N$10),MAX(0,Project_Register!$V$10-Project_Register!$N$10)/(Project_Register!$J$10-Assumptions!E$201+1))))</f>
        <v>0</v>
      </c>
      <c r="F25" s="67" t="n">
        <f aca="false">IF(F$5="A",Inputs_Actuals!F131,IF(Assumptions!F$201&lt;Project_Register!$I$10,0,IF(Assumptions!F$201&gt;=Project_Register!$J$10,MAX(0,Project_Register!$V$10-E51),MAX(0,Project_Register!$V$10-E51)/(Project_Register!$J$10-Assumptions!F$201+1))))</f>
        <v>0</v>
      </c>
      <c r="G25" s="67" t="n">
        <f aca="false">IF(G$5="A",Inputs_Actuals!G131,IF(Assumptions!G$201&lt;Project_Register!$I$10,0,IF(Assumptions!G$201&gt;=Project_Register!$J$10,MAX(0,Project_Register!$V$10-F51),MAX(0,Project_Register!$V$10-F51)/(Project_Register!$J$10-Assumptions!G$201+1))))</f>
        <v>0</v>
      </c>
      <c r="H25" s="67" t="n">
        <f aca="false">IF(H$5="A",Inputs_Actuals!H131,IF(Assumptions!H$201&lt;Project_Register!$I$10,0,IF(Assumptions!H$201&gt;=Project_Register!$J$10,MAX(0,Project_Register!$V$10-G51),MAX(0,Project_Register!$V$10-G51)/(Project_Register!$J$10-Assumptions!H$201+1))))</f>
        <v>0</v>
      </c>
      <c r="I25" s="67" t="n">
        <f aca="false">IF(I$5="A",Inputs_Actuals!I131,IF(Assumptions!I$201&lt;Project_Register!$I$10,0,IF(Assumptions!I$201&gt;=Project_Register!$J$10,MAX(0,Project_Register!$V$10-H51),MAX(0,Project_Register!$V$10-H51)/(Project_Register!$J$10-Assumptions!I$201+1))))</f>
        <v>0</v>
      </c>
      <c r="J25" s="67" t="n">
        <f aca="false">IF(J$5="A",Inputs_Actuals!J131,IF(Assumptions!J$201&lt;Project_Register!$I$10,0,IF(Assumptions!J$201&gt;=Project_Register!$J$10,MAX(0,Project_Register!$V$10-I51),MAX(0,Project_Register!$V$10-I51)/(Project_Register!$J$10-Assumptions!J$201+1))))</f>
        <v>0</v>
      </c>
      <c r="K25" s="67" t="n">
        <f aca="false">IF(K$5="A",Inputs_Actuals!K131,IF(Assumptions!K$201&lt;Project_Register!$I$10,0,IF(Assumptions!K$201&gt;=Project_Register!$J$10,MAX(0,Project_Register!$V$10-J51),MAX(0,Project_Register!$V$10-J51)/(Project_Register!$J$10-Assumptions!K$201+1))))</f>
        <v>0</v>
      </c>
      <c r="L25" s="67" t="n">
        <f aca="false">IF(L$5="A",Inputs_Actuals!L131,IF(Assumptions!L$201&lt;Project_Register!$I$10,0,IF(Assumptions!L$201&gt;=Project_Register!$J$10,MAX(0,Project_Register!$V$10-K51),MAX(0,Project_Register!$V$10-K51)/(Project_Register!$J$10-Assumptions!L$201+1))))</f>
        <v>0</v>
      </c>
      <c r="M25" s="67" t="n">
        <f aca="false">IF(M$5="A",Inputs_Actuals!M131,IF(Assumptions!M$201&lt;Project_Register!$I$10,0,IF(Assumptions!M$201&gt;=Project_Register!$J$10,MAX(0,Project_Register!$V$10-L51),MAX(0,Project_Register!$V$10-L51)/(Project_Register!$J$10-Assumptions!M$201+1))))</f>
        <v>0</v>
      </c>
      <c r="N25" s="67" t="n">
        <f aca="false">IF(N$5="A",Inputs_Actuals!N131,IF(Assumptions!N$201&lt;Project_Register!$I$10,0,IF(Assumptions!N$201&gt;=Project_Register!$J$10,MAX(0,Project_Register!$V$10-M51),MAX(0,Project_Register!$V$10-M51)/(Project_Register!$J$10-Assumptions!N$201+1))))</f>
        <v>0</v>
      </c>
      <c r="O25" s="67" t="n">
        <f aca="false">IF(O$5="A",Inputs_Actuals!O131,IF(Assumptions!O$201&lt;Project_Register!$I$10,0,IF(Assumptions!O$201&gt;=Project_Register!$J$10,MAX(0,Project_Register!$V$10-N51),MAX(0,Project_Register!$V$10-N51)/(Project_Register!$J$10-Assumptions!O$201+1))))</f>
        <v>0</v>
      </c>
      <c r="P25" s="67" t="n">
        <f aca="false">IF(P$5="A",Inputs_Actuals!P131,IF(Assumptions!P$201&lt;Project_Register!$I$10,0,IF(Assumptions!P$201&gt;=Project_Register!$J$10,MAX(0,Project_Register!$V$10-O51),MAX(0,Project_Register!$V$10-O51)/(Project_Register!$J$10-Assumptions!P$201+1))))</f>
        <v>0</v>
      </c>
      <c r="Q25" s="67" t="n">
        <f aca="false">IF(Q$5="A",Inputs_Actuals!Q131,IF(Assumptions!Q$201&lt;Project_Register!$I$10,0,IF(Assumptions!Q$201&gt;=Project_Register!$J$10,MAX(0,Project_Register!$V$10-P51),MAX(0,Project_Register!$V$10-P51)/(Project_Register!$J$10-Assumptions!Q$201+1))))</f>
        <v>0</v>
      </c>
      <c r="R25" s="67" t="n">
        <f aca="false">IF(R$5="A",Inputs_Actuals!R131,IF(Assumptions!R$201&lt;Project_Register!$I$10,0,IF(Assumptions!R$201&gt;=Project_Register!$J$10,MAX(0,Project_Register!$V$10-Q51),MAX(0,Project_Register!$V$10-Q51)/(Project_Register!$J$10-Assumptions!R$201+1))))</f>
        <v>0</v>
      </c>
      <c r="S25" s="67" t="n">
        <f aca="false">IF(S$5="A",Inputs_Actuals!S131,IF(Assumptions!S$201&lt;Project_Register!$I$10,0,IF(Assumptions!S$201&gt;=Project_Register!$J$10,MAX(0,Project_Register!$V$10-R51),MAX(0,Project_Register!$V$10-R51)/(Project_Register!$J$10-Assumptions!S$201+1))))</f>
        <v>0</v>
      </c>
      <c r="T25" s="67" t="n">
        <f aca="false">IF(T$5="A",Inputs_Actuals!T131,IF(Assumptions!T$201&lt;Project_Register!$I$10,0,IF(Assumptions!T$201&gt;=Project_Register!$J$10,MAX(0,Project_Register!$V$10-S51),MAX(0,Project_Register!$V$10-S51)/(Project_Register!$J$10-Assumptions!T$201+1))))</f>
        <v>0</v>
      </c>
      <c r="U25" s="67" t="n">
        <f aca="false">IF(U$5="A",Inputs_Actuals!U131,IF(Assumptions!U$201&lt;Project_Register!$I$10,0,IF(Assumptions!U$201&gt;=Project_Register!$J$10,MAX(0,Project_Register!$V$10-T51),MAX(0,Project_Register!$V$10-T51)/(Project_Register!$J$10-Assumptions!U$201+1))))</f>
        <v>0</v>
      </c>
      <c r="V25" s="67" t="n">
        <f aca="false">IF(V$5="A",Inputs_Actuals!V131,IF(Assumptions!V$201&lt;Project_Register!$I$10,0,IF(Assumptions!V$201&gt;=Project_Register!$J$10,MAX(0,Project_Register!$V$10-U51),MAX(0,Project_Register!$V$10-U51)/(Project_Register!$J$10-Assumptions!V$201+1))))</f>
        <v>0</v>
      </c>
      <c r="W25" s="67" t="n">
        <f aca="false">IF(W$5="A",Inputs_Actuals!W131,IF(Assumptions!W$201&lt;Project_Register!$I$10,0,IF(Assumptions!W$201&gt;=Project_Register!$J$10,MAX(0,Project_Register!$V$10-V51),MAX(0,Project_Register!$V$10-V51)/(Project_Register!$J$10-Assumptions!W$201+1))))</f>
        <v>0</v>
      </c>
      <c r="X25" s="67" t="n">
        <f aca="false">IF(X$5="A",Inputs_Actuals!X131,IF(Assumptions!X$201&lt;Project_Register!$I$10,0,IF(Assumptions!X$201&gt;=Project_Register!$J$10,MAX(0,Project_Register!$V$10-W51),MAX(0,Project_Register!$V$10-W51)/(Project_Register!$J$10-Assumptions!X$201+1))))</f>
        <v>0</v>
      </c>
      <c r="Y25" s="67" t="n">
        <f aca="false">IF(Y$5="A",Inputs_Actuals!Y131,IF(Assumptions!Y$201&lt;Project_Register!$I$10,0,IF(Assumptions!Y$201&gt;=Project_Register!$J$10,MAX(0,Project_Register!$V$10-X51),MAX(0,Project_Register!$V$10-X51)/(Project_Register!$J$10-Assumptions!Y$201+1))))</f>
        <v>0</v>
      </c>
      <c r="Z25" s="67" t="n">
        <f aca="false">IF(Z$5="A",Inputs_Actuals!Z131,IF(Assumptions!Z$201&lt;Project_Register!$I$10,0,IF(Assumptions!Z$201&gt;=Project_Register!$J$10,MAX(0,Project_Register!$V$10-Y51),MAX(0,Project_Register!$V$10-Y51)/(Project_Register!$J$10-Assumptions!Z$201+1))))</f>
        <v>0</v>
      </c>
      <c r="AA25" s="67" t="n">
        <f aca="false">IF(AA$5="A",Inputs_Actuals!AA131,IF(Assumptions!AA$201&lt;Project_Register!$I$10,0,IF(Assumptions!AA$201&gt;=Project_Register!$J$10,MAX(0,Project_Register!$V$10-Z51),MAX(0,Project_Register!$V$10-Z51)/(Project_Register!$J$10-Assumptions!AA$201+1))))</f>
        <v>0</v>
      </c>
      <c r="AB25" s="67" t="n">
        <f aca="false">IF(AB$5="A",Inputs_Actuals!AB131,IF(Assumptions!AB$201&lt;Project_Register!$I$10,0,IF(Assumptions!AB$201&gt;=Project_Register!$J$10,MAX(0,Project_Register!$V$10-AA51),MAX(0,Project_Register!$V$10-AA51)/(Project_Register!$J$10-Assumptions!AB$201+1))))</f>
        <v>0</v>
      </c>
    </row>
    <row r="26" customFormat="false" ht="15" hidden="false" customHeight="false" outlineLevel="0" collapsed="false">
      <c r="A26" s="27" t="s">
        <v>944</v>
      </c>
      <c r="B26" s="63"/>
      <c r="C26" s="66" t="n">
        <f aca="false">SUM(E26:P26)</f>
        <v>0</v>
      </c>
      <c r="D26" s="66" t="n">
        <f aca="false">SUM(Q26:AB26)</f>
        <v>0</v>
      </c>
      <c r="E26" s="67" t="n">
        <f aca="false">IF(E$5="A",Inputs_Actuals!E133,IF(Assumptions!E$201&lt;Project_Register!$I$11,0,IF(Assumptions!E$201&gt;=Project_Register!$J$11,MAX(0,Project_Register!$V$11-Project_Register!$N$11),MAX(0,Project_Register!$V$11-Project_Register!$N$11)/(Project_Register!$J$11-Assumptions!E$201+1))))</f>
        <v>0</v>
      </c>
      <c r="F26" s="67" t="n">
        <f aca="false">IF(F$5="A",Inputs_Actuals!F133,IF(Assumptions!F$201&lt;Project_Register!$I$11,0,IF(Assumptions!F$201&gt;=Project_Register!$J$11,MAX(0,Project_Register!$V$11-E52),MAX(0,Project_Register!$V$11-E52)/(Project_Register!$J$11-Assumptions!F$201+1))))</f>
        <v>0</v>
      </c>
      <c r="G26" s="67" t="n">
        <f aca="false">IF(G$5="A",Inputs_Actuals!G133,IF(Assumptions!G$201&lt;Project_Register!$I$11,0,IF(Assumptions!G$201&gt;=Project_Register!$J$11,MAX(0,Project_Register!$V$11-F52),MAX(0,Project_Register!$V$11-F52)/(Project_Register!$J$11-Assumptions!G$201+1))))</f>
        <v>0</v>
      </c>
      <c r="H26" s="67" t="n">
        <f aca="false">IF(H$5="A",Inputs_Actuals!H133,IF(Assumptions!H$201&lt;Project_Register!$I$11,0,IF(Assumptions!H$201&gt;=Project_Register!$J$11,MAX(0,Project_Register!$V$11-G52),MAX(0,Project_Register!$V$11-G52)/(Project_Register!$J$11-Assumptions!H$201+1))))</f>
        <v>0</v>
      </c>
      <c r="I26" s="67" t="n">
        <f aca="false">IF(I$5="A",Inputs_Actuals!I133,IF(Assumptions!I$201&lt;Project_Register!$I$11,0,IF(Assumptions!I$201&gt;=Project_Register!$J$11,MAX(0,Project_Register!$V$11-H52),MAX(0,Project_Register!$V$11-H52)/(Project_Register!$J$11-Assumptions!I$201+1))))</f>
        <v>0</v>
      </c>
      <c r="J26" s="67" t="n">
        <f aca="false">IF(J$5="A",Inputs_Actuals!J133,IF(Assumptions!J$201&lt;Project_Register!$I$11,0,IF(Assumptions!J$201&gt;=Project_Register!$J$11,MAX(0,Project_Register!$V$11-I52),MAX(0,Project_Register!$V$11-I52)/(Project_Register!$J$11-Assumptions!J$201+1))))</f>
        <v>0</v>
      </c>
      <c r="K26" s="67" t="n">
        <f aca="false">IF(K$5="A",Inputs_Actuals!K133,IF(Assumptions!K$201&lt;Project_Register!$I$11,0,IF(Assumptions!K$201&gt;=Project_Register!$J$11,MAX(0,Project_Register!$V$11-J52),MAX(0,Project_Register!$V$11-J52)/(Project_Register!$J$11-Assumptions!K$201+1))))</f>
        <v>0</v>
      </c>
      <c r="L26" s="67" t="n">
        <f aca="false">IF(L$5="A",Inputs_Actuals!L133,IF(Assumptions!L$201&lt;Project_Register!$I$11,0,IF(Assumptions!L$201&gt;=Project_Register!$J$11,MAX(0,Project_Register!$V$11-K52),MAX(0,Project_Register!$V$11-K52)/(Project_Register!$J$11-Assumptions!L$201+1))))</f>
        <v>0</v>
      </c>
      <c r="M26" s="67" t="n">
        <f aca="false">IF(M$5="A",Inputs_Actuals!M133,IF(Assumptions!M$201&lt;Project_Register!$I$11,0,IF(Assumptions!M$201&gt;=Project_Register!$J$11,MAX(0,Project_Register!$V$11-L52),MAX(0,Project_Register!$V$11-L52)/(Project_Register!$J$11-Assumptions!M$201+1))))</f>
        <v>0</v>
      </c>
      <c r="N26" s="67" t="n">
        <f aca="false">IF(N$5="A",Inputs_Actuals!N133,IF(Assumptions!N$201&lt;Project_Register!$I$11,0,IF(Assumptions!N$201&gt;=Project_Register!$J$11,MAX(0,Project_Register!$V$11-M52),MAX(0,Project_Register!$V$11-M52)/(Project_Register!$J$11-Assumptions!N$201+1))))</f>
        <v>0</v>
      </c>
      <c r="O26" s="67" t="n">
        <f aca="false">IF(O$5="A",Inputs_Actuals!O133,IF(Assumptions!O$201&lt;Project_Register!$I$11,0,IF(Assumptions!O$201&gt;=Project_Register!$J$11,MAX(0,Project_Register!$V$11-N52),MAX(0,Project_Register!$V$11-N52)/(Project_Register!$J$11-Assumptions!O$201+1))))</f>
        <v>0</v>
      </c>
      <c r="P26" s="67" t="n">
        <f aca="false">IF(P$5="A",Inputs_Actuals!P133,IF(Assumptions!P$201&lt;Project_Register!$I$11,0,IF(Assumptions!P$201&gt;=Project_Register!$J$11,MAX(0,Project_Register!$V$11-O52),MAX(0,Project_Register!$V$11-O52)/(Project_Register!$J$11-Assumptions!P$201+1))))</f>
        <v>0</v>
      </c>
      <c r="Q26" s="67" t="n">
        <f aca="false">IF(Q$5="A",Inputs_Actuals!Q133,IF(Assumptions!Q$201&lt;Project_Register!$I$11,0,IF(Assumptions!Q$201&gt;=Project_Register!$J$11,MAX(0,Project_Register!$V$11-P52),MAX(0,Project_Register!$V$11-P52)/(Project_Register!$J$11-Assumptions!Q$201+1))))</f>
        <v>0</v>
      </c>
      <c r="R26" s="67" t="n">
        <f aca="false">IF(R$5="A",Inputs_Actuals!R133,IF(Assumptions!R$201&lt;Project_Register!$I$11,0,IF(Assumptions!R$201&gt;=Project_Register!$J$11,MAX(0,Project_Register!$V$11-Q52),MAX(0,Project_Register!$V$11-Q52)/(Project_Register!$J$11-Assumptions!R$201+1))))</f>
        <v>0</v>
      </c>
      <c r="S26" s="67" t="n">
        <f aca="false">IF(S$5="A",Inputs_Actuals!S133,IF(Assumptions!S$201&lt;Project_Register!$I$11,0,IF(Assumptions!S$201&gt;=Project_Register!$J$11,MAX(0,Project_Register!$V$11-R52),MAX(0,Project_Register!$V$11-R52)/(Project_Register!$J$11-Assumptions!S$201+1))))</f>
        <v>0</v>
      </c>
      <c r="T26" s="67" t="n">
        <f aca="false">IF(T$5="A",Inputs_Actuals!T133,IF(Assumptions!T$201&lt;Project_Register!$I$11,0,IF(Assumptions!T$201&gt;=Project_Register!$J$11,MAX(0,Project_Register!$V$11-S52),MAX(0,Project_Register!$V$11-S52)/(Project_Register!$J$11-Assumptions!T$201+1))))</f>
        <v>0</v>
      </c>
      <c r="U26" s="67" t="n">
        <f aca="false">IF(U$5="A",Inputs_Actuals!U133,IF(Assumptions!U$201&lt;Project_Register!$I$11,0,IF(Assumptions!U$201&gt;=Project_Register!$J$11,MAX(0,Project_Register!$V$11-T52),MAX(0,Project_Register!$V$11-T52)/(Project_Register!$J$11-Assumptions!U$201+1))))</f>
        <v>0</v>
      </c>
      <c r="V26" s="67" t="n">
        <f aca="false">IF(V$5="A",Inputs_Actuals!V133,IF(Assumptions!V$201&lt;Project_Register!$I$11,0,IF(Assumptions!V$201&gt;=Project_Register!$J$11,MAX(0,Project_Register!$V$11-U52),MAX(0,Project_Register!$V$11-U52)/(Project_Register!$J$11-Assumptions!V$201+1))))</f>
        <v>0</v>
      </c>
      <c r="W26" s="67" t="n">
        <f aca="false">IF(W$5="A",Inputs_Actuals!W133,IF(Assumptions!W$201&lt;Project_Register!$I$11,0,IF(Assumptions!W$201&gt;=Project_Register!$J$11,MAX(0,Project_Register!$V$11-V52),MAX(0,Project_Register!$V$11-V52)/(Project_Register!$J$11-Assumptions!W$201+1))))</f>
        <v>0</v>
      </c>
      <c r="X26" s="67" t="n">
        <f aca="false">IF(X$5="A",Inputs_Actuals!X133,IF(Assumptions!X$201&lt;Project_Register!$I$11,0,IF(Assumptions!X$201&gt;=Project_Register!$J$11,MAX(0,Project_Register!$V$11-W52),MAX(0,Project_Register!$V$11-W52)/(Project_Register!$J$11-Assumptions!X$201+1))))</f>
        <v>0</v>
      </c>
      <c r="Y26" s="67" t="n">
        <f aca="false">IF(Y$5="A",Inputs_Actuals!Y133,IF(Assumptions!Y$201&lt;Project_Register!$I$11,0,IF(Assumptions!Y$201&gt;=Project_Register!$J$11,MAX(0,Project_Register!$V$11-X52),MAX(0,Project_Register!$V$11-X52)/(Project_Register!$J$11-Assumptions!Y$201+1))))</f>
        <v>0</v>
      </c>
      <c r="Z26" s="67" t="n">
        <f aca="false">IF(Z$5="A",Inputs_Actuals!Z133,IF(Assumptions!Z$201&lt;Project_Register!$I$11,0,IF(Assumptions!Z$201&gt;=Project_Register!$J$11,MAX(0,Project_Register!$V$11-Y52),MAX(0,Project_Register!$V$11-Y52)/(Project_Register!$J$11-Assumptions!Z$201+1))))</f>
        <v>0</v>
      </c>
      <c r="AA26" s="67" t="n">
        <f aca="false">IF(AA$5="A",Inputs_Actuals!AA133,IF(Assumptions!AA$201&lt;Project_Register!$I$11,0,IF(Assumptions!AA$201&gt;=Project_Register!$J$11,MAX(0,Project_Register!$V$11-Z52),MAX(0,Project_Register!$V$11-Z52)/(Project_Register!$J$11-Assumptions!AA$201+1))))</f>
        <v>0</v>
      </c>
      <c r="AB26" s="67" t="n">
        <f aca="false">IF(AB$5="A",Inputs_Actuals!AB133,IF(Assumptions!AB$201&lt;Project_Register!$I$11,0,IF(Assumptions!AB$201&gt;=Project_Register!$J$11,MAX(0,Project_Register!$V$11-AA52),MAX(0,Project_Register!$V$11-AA52)/(Project_Register!$J$11-Assumptions!AB$201+1))))</f>
        <v>0</v>
      </c>
    </row>
    <row r="27" customFormat="false" ht="15" hidden="false" customHeight="false" outlineLevel="0" collapsed="false">
      <c r="A27" s="27" t="s">
        <v>945</v>
      </c>
      <c r="B27" s="63"/>
      <c r="C27" s="66" t="n">
        <f aca="false">SUM(E27:P27)</f>
        <v>0</v>
      </c>
      <c r="D27" s="66" t="n">
        <f aca="false">SUM(Q27:AB27)</f>
        <v>0</v>
      </c>
      <c r="E27" s="67" t="n">
        <f aca="false">IF(E$5="A",Inputs_Actuals!E135,IF(Assumptions!E$201&lt;Project_Register!$I$12,0,IF(Assumptions!E$201&gt;=Project_Register!$J$12,MAX(0,Project_Register!$V$12-Project_Register!$N$12),MAX(0,Project_Register!$V$12-Project_Register!$N$12)/(Project_Register!$J$12-Assumptions!E$201+1))))</f>
        <v>0</v>
      </c>
      <c r="F27" s="67" t="n">
        <f aca="false">IF(F$5="A",Inputs_Actuals!F135,IF(Assumptions!F$201&lt;Project_Register!$I$12,0,IF(Assumptions!F$201&gt;=Project_Register!$J$12,MAX(0,Project_Register!$V$12-E53),MAX(0,Project_Register!$V$12-E53)/(Project_Register!$J$12-Assumptions!F$201+1))))</f>
        <v>0</v>
      </c>
      <c r="G27" s="67" t="n">
        <f aca="false">IF(G$5="A",Inputs_Actuals!G135,IF(Assumptions!G$201&lt;Project_Register!$I$12,0,IF(Assumptions!G$201&gt;=Project_Register!$J$12,MAX(0,Project_Register!$V$12-F53),MAX(0,Project_Register!$V$12-F53)/(Project_Register!$J$12-Assumptions!G$201+1))))</f>
        <v>0</v>
      </c>
      <c r="H27" s="67" t="n">
        <f aca="false">IF(H$5="A",Inputs_Actuals!H135,IF(Assumptions!H$201&lt;Project_Register!$I$12,0,IF(Assumptions!H$201&gt;=Project_Register!$J$12,MAX(0,Project_Register!$V$12-G53),MAX(0,Project_Register!$V$12-G53)/(Project_Register!$J$12-Assumptions!H$201+1))))</f>
        <v>0</v>
      </c>
      <c r="I27" s="67" t="n">
        <f aca="false">IF(I$5="A",Inputs_Actuals!I135,IF(Assumptions!I$201&lt;Project_Register!$I$12,0,IF(Assumptions!I$201&gt;=Project_Register!$J$12,MAX(0,Project_Register!$V$12-H53),MAX(0,Project_Register!$V$12-H53)/(Project_Register!$J$12-Assumptions!I$201+1))))</f>
        <v>0</v>
      </c>
      <c r="J27" s="67" t="n">
        <f aca="false">IF(J$5="A",Inputs_Actuals!J135,IF(Assumptions!J$201&lt;Project_Register!$I$12,0,IF(Assumptions!J$201&gt;=Project_Register!$J$12,MAX(0,Project_Register!$V$12-I53),MAX(0,Project_Register!$V$12-I53)/(Project_Register!$J$12-Assumptions!J$201+1))))</f>
        <v>0</v>
      </c>
      <c r="K27" s="67" t="n">
        <f aca="false">IF(K$5="A",Inputs_Actuals!K135,IF(Assumptions!K$201&lt;Project_Register!$I$12,0,IF(Assumptions!K$201&gt;=Project_Register!$J$12,MAX(0,Project_Register!$V$12-J53),MAX(0,Project_Register!$V$12-J53)/(Project_Register!$J$12-Assumptions!K$201+1))))</f>
        <v>0</v>
      </c>
      <c r="L27" s="67" t="n">
        <f aca="false">IF(L$5="A",Inputs_Actuals!L135,IF(Assumptions!L$201&lt;Project_Register!$I$12,0,IF(Assumptions!L$201&gt;=Project_Register!$J$12,MAX(0,Project_Register!$V$12-K53),MAX(0,Project_Register!$V$12-K53)/(Project_Register!$J$12-Assumptions!L$201+1))))</f>
        <v>0</v>
      </c>
      <c r="M27" s="67" t="n">
        <f aca="false">IF(M$5="A",Inputs_Actuals!M135,IF(Assumptions!M$201&lt;Project_Register!$I$12,0,IF(Assumptions!M$201&gt;=Project_Register!$J$12,MAX(0,Project_Register!$V$12-L53),MAX(0,Project_Register!$V$12-L53)/(Project_Register!$J$12-Assumptions!M$201+1))))</f>
        <v>0</v>
      </c>
      <c r="N27" s="67" t="n">
        <f aca="false">IF(N$5="A",Inputs_Actuals!N135,IF(Assumptions!N$201&lt;Project_Register!$I$12,0,IF(Assumptions!N$201&gt;=Project_Register!$J$12,MAX(0,Project_Register!$V$12-M53),MAX(0,Project_Register!$V$12-M53)/(Project_Register!$J$12-Assumptions!N$201+1))))</f>
        <v>0</v>
      </c>
      <c r="O27" s="67" t="n">
        <f aca="false">IF(O$5="A",Inputs_Actuals!O135,IF(Assumptions!O$201&lt;Project_Register!$I$12,0,IF(Assumptions!O$201&gt;=Project_Register!$J$12,MAX(0,Project_Register!$V$12-N53),MAX(0,Project_Register!$V$12-N53)/(Project_Register!$J$12-Assumptions!O$201+1))))</f>
        <v>0</v>
      </c>
      <c r="P27" s="67" t="n">
        <f aca="false">IF(P$5="A",Inputs_Actuals!P135,IF(Assumptions!P$201&lt;Project_Register!$I$12,0,IF(Assumptions!P$201&gt;=Project_Register!$J$12,MAX(0,Project_Register!$V$12-O53),MAX(0,Project_Register!$V$12-O53)/(Project_Register!$J$12-Assumptions!P$201+1))))</f>
        <v>0</v>
      </c>
      <c r="Q27" s="67" t="n">
        <f aca="false">IF(Q$5="A",Inputs_Actuals!Q135,IF(Assumptions!Q$201&lt;Project_Register!$I$12,0,IF(Assumptions!Q$201&gt;=Project_Register!$J$12,MAX(0,Project_Register!$V$12-P53),MAX(0,Project_Register!$V$12-P53)/(Project_Register!$J$12-Assumptions!Q$201+1))))</f>
        <v>0</v>
      </c>
      <c r="R27" s="67" t="n">
        <f aca="false">IF(R$5="A",Inputs_Actuals!R135,IF(Assumptions!R$201&lt;Project_Register!$I$12,0,IF(Assumptions!R$201&gt;=Project_Register!$J$12,MAX(0,Project_Register!$V$12-Q53),MAX(0,Project_Register!$V$12-Q53)/(Project_Register!$J$12-Assumptions!R$201+1))))</f>
        <v>0</v>
      </c>
      <c r="S27" s="67" t="n">
        <f aca="false">IF(S$5="A",Inputs_Actuals!S135,IF(Assumptions!S$201&lt;Project_Register!$I$12,0,IF(Assumptions!S$201&gt;=Project_Register!$J$12,MAX(0,Project_Register!$V$12-R53),MAX(0,Project_Register!$V$12-R53)/(Project_Register!$J$12-Assumptions!S$201+1))))</f>
        <v>0</v>
      </c>
      <c r="T27" s="67" t="n">
        <f aca="false">IF(T$5="A",Inputs_Actuals!T135,IF(Assumptions!T$201&lt;Project_Register!$I$12,0,IF(Assumptions!T$201&gt;=Project_Register!$J$12,MAX(0,Project_Register!$V$12-S53),MAX(0,Project_Register!$V$12-S53)/(Project_Register!$J$12-Assumptions!T$201+1))))</f>
        <v>0</v>
      </c>
      <c r="U27" s="67" t="n">
        <f aca="false">IF(U$5="A",Inputs_Actuals!U135,IF(Assumptions!U$201&lt;Project_Register!$I$12,0,IF(Assumptions!U$201&gt;=Project_Register!$J$12,MAX(0,Project_Register!$V$12-T53),MAX(0,Project_Register!$V$12-T53)/(Project_Register!$J$12-Assumptions!U$201+1))))</f>
        <v>0</v>
      </c>
      <c r="V27" s="67" t="n">
        <f aca="false">IF(V$5="A",Inputs_Actuals!V135,IF(Assumptions!V$201&lt;Project_Register!$I$12,0,IF(Assumptions!V$201&gt;=Project_Register!$J$12,MAX(0,Project_Register!$V$12-U53),MAX(0,Project_Register!$V$12-U53)/(Project_Register!$J$12-Assumptions!V$201+1))))</f>
        <v>0</v>
      </c>
      <c r="W27" s="67" t="n">
        <f aca="false">IF(W$5="A",Inputs_Actuals!W135,IF(Assumptions!W$201&lt;Project_Register!$I$12,0,IF(Assumptions!W$201&gt;=Project_Register!$J$12,MAX(0,Project_Register!$V$12-V53),MAX(0,Project_Register!$V$12-V53)/(Project_Register!$J$12-Assumptions!W$201+1))))</f>
        <v>0</v>
      </c>
      <c r="X27" s="67" t="n">
        <f aca="false">IF(X$5="A",Inputs_Actuals!X135,IF(Assumptions!X$201&lt;Project_Register!$I$12,0,IF(Assumptions!X$201&gt;=Project_Register!$J$12,MAX(0,Project_Register!$V$12-W53),MAX(0,Project_Register!$V$12-W53)/(Project_Register!$J$12-Assumptions!X$201+1))))</f>
        <v>0</v>
      </c>
      <c r="Y27" s="67" t="n">
        <f aca="false">IF(Y$5="A",Inputs_Actuals!Y135,IF(Assumptions!Y$201&lt;Project_Register!$I$12,0,IF(Assumptions!Y$201&gt;=Project_Register!$J$12,MAX(0,Project_Register!$V$12-X53),MAX(0,Project_Register!$V$12-X53)/(Project_Register!$J$12-Assumptions!Y$201+1))))</f>
        <v>0</v>
      </c>
      <c r="Z27" s="67" t="n">
        <f aca="false">IF(Z$5="A",Inputs_Actuals!Z135,IF(Assumptions!Z$201&lt;Project_Register!$I$12,0,IF(Assumptions!Z$201&gt;=Project_Register!$J$12,MAX(0,Project_Register!$V$12-Y53),MAX(0,Project_Register!$V$12-Y53)/(Project_Register!$J$12-Assumptions!Z$201+1))))</f>
        <v>0</v>
      </c>
      <c r="AA27" s="67" t="n">
        <f aca="false">IF(AA$5="A",Inputs_Actuals!AA135,IF(Assumptions!AA$201&lt;Project_Register!$I$12,0,IF(Assumptions!AA$201&gt;=Project_Register!$J$12,MAX(0,Project_Register!$V$12-Z53),MAX(0,Project_Register!$V$12-Z53)/(Project_Register!$J$12-Assumptions!AA$201+1))))</f>
        <v>0</v>
      </c>
      <c r="AB27" s="67" t="n">
        <f aca="false">IF(AB$5="A",Inputs_Actuals!AB135,IF(Assumptions!AB$201&lt;Project_Register!$I$12,0,IF(Assumptions!AB$201&gt;=Project_Register!$J$12,MAX(0,Project_Register!$V$12-AA53),MAX(0,Project_Register!$V$12-AA53)/(Project_Register!$J$12-Assumptions!AB$201+1))))</f>
        <v>0</v>
      </c>
    </row>
    <row r="28" customFormat="false" ht="15" hidden="false" customHeight="false" outlineLevel="0" collapsed="false">
      <c r="A28" s="27" t="s">
        <v>946</v>
      </c>
      <c r="B28" s="63"/>
      <c r="C28" s="66" t="n">
        <f aca="false">SUM(E28:P28)</f>
        <v>0</v>
      </c>
      <c r="D28" s="66" t="n">
        <f aca="false">SUM(Q28:AB28)</f>
        <v>0</v>
      </c>
      <c r="E28" s="67" t="n">
        <f aca="false">IF(E$5="A",Inputs_Actuals!E137,IF(Assumptions!E$201&lt;Project_Register!$I$13,0,IF(Assumptions!E$201&gt;=Project_Register!$J$13,MAX(0,Project_Register!$V$13-Project_Register!$N$13),MAX(0,Project_Register!$V$13-Project_Register!$N$13)/(Project_Register!$J$13-Assumptions!E$201+1))))</f>
        <v>0</v>
      </c>
      <c r="F28" s="67" t="n">
        <f aca="false">IF(F$5="A",Inputs_Actuals!F137,IF(Assumptions!F$201&lt;Project_Register!$I$13,0,IF(Assumptions!F$201&gt;=Project_Register!$J$13,MAX(0,Project_Register!$V$13-E54),MAX(0,Project_Register!$V$13-E54)/(Project_Register!$J$13-Assumptions!F$201+1))))</f>
        <v>0</v>
      </c>
      <c r="G28" s="67" t="n">
        <f aca="false">IF(G$5="A",Inputs_Actuals!G137,IF(Assumptions!G$201&lt;Project_Register!$I$13,0,IF(Assumptions!G$201&gt;=Project_Register!$J$13,MAX(0,Project_Register!$V$13-F54),MAX(0,Project_Register!$V$13-F54)/(Project_Register!$J$13-Assumptions!G$201+1))))</f>
        <v>0</v>
      </c>
      <c r="H28" s="67" t="n">
        <f aca="false">IF(H$5="A",Inputs_Actuals!H137,IF(Assumptions!H$201&lt;Project_Register!$I$13,0,IF(Assumptions!H$201&gt;=Project_Register!$J$13,MAX(0,Project_Register!$V$13-G54),MAX(0,Project_Register!$V$13-G54)/(Project_Register!$J$13-Assumptions!H$201+1))))</f>
        <v>0</v>
      </c>
      <c r="I28" s="67" t="n">
        <f aca="false">IF(I$5="A",Inputs_Actuals!I137,IF(Assumptions!I$201&lt;Project_Register!$I$13,0,IF(Assumptions!I$201&gt;=Project_Register!$J$13,MAX(0,Project_Register!$V$13-H54),MAX(0,Project_Register!$V$13-H54)/(Project_Register!$J$13-Assumptions!I$201+1))))</f>
        <v>0</v>
      </c>
      <c r="J28" s="67" t="n">
        <f aca="false">IF(J$5="A",Inputs_Actuals!J137,IF(Assumptions!J$201&lt;Project_Register!$I$13,0,IF(Assumptions!J$201&gt;=Project_Register!$J$13,MAX(0,Project_Register!$V$13-I54),MAX(0,Project_Register!$V$13-I54)/(Project_Register!$J$13-Assumptions!J$201+1))))</f>
        <v>0</v>
      </c>
      <c r="K28" s="67" t="n">
        <f aca="false">IF(K$5="A",Inputs_Actuals!K137,IF(Assumptions!K$201&lt;Project_Register!$I$13,0,IF(Assumptions!K$201&gt;=Project_Register!$J$13,MAX(0,Project_Register!$V$13-J54),MAX(0,Project_Register!$V$13-J54)/(Project_Register!$J$13-Assumptions!K$201+1))))</f>
        <v>0</v>
      </c>
      <c r="L28" s="67" t="n">
        <f aca="false">IF(L$5="A",Inputs_Actuals!L137,IF(Assumptions!L$201&lt;Project_Register!$I$13,0,IF(Assumptions!L$201&gt;=Project_Register!$J$13,MAX(0,Project_Register!$V$13-K54),MAX(0,Project_Register!$V$13-K54)/(Project_Register!$J$13-Assumptions!L$201+1))))</f>
        <v>0</v>
      </c>
      <c r="M28" s="67" t="n">
        <f aca="false">IF(M$5="A",Inputs_Actuals!M137,IF(Assumptions!M$201&lt;Project_Register!$I$13,0,IF(Assumptions!M$201&gt;=Project_Register!$J$13,MAX(0,Project_Register!$V$13-L54),MAX(0,Project_Register!$V$13-L54)/(Project_Register!$J$13-Assumptions!M$201+1))))</f>
        <v>0</v>
      </c>
      <c r="N28" s="67" t="n">
        <f aca="false">IF(N$5="A",Inputs_Actuals!N137,IF(Assumptions!N$201&lt;Project_Register!$I$13,0,IF(Assumptions!N$201&gt;=Project_Register!$J$13,MAX(0,Project_Register!$V$13-M54),MAX(0,Project_Register!$V$13-M54)/(Project_Register!$J$13-Assumptions!N$201+1))))</f>
        <v>0</v>
      </c>
      <c r="O28" s="67" t="n">
        <f aca="false">IF(O$5="A",Inputs_Actuals!O137,IF(Assumptions!O$201&lt;Project_Register!$I$13,0,IF(Assumptions!O$201&gt;=Project_Register!$J$13,MAX(0,Project_Register!$V$13-N54),MAX(0,Project_Register!$V$13-N54)/(Project_Register!$J$13-Assumptions!O$201+1))))</f>
        <v>0</v>
      </c>
      <c r="P28" s="67" t="n">
        <f aca="false">IF(P$5="A",Inputs_Actuals!P137,IF(Assumptions!P$201&lt;Project_Register!$I$13,0,IF(Assumptions!P$201&gt;=Project_Register!$J$13,MAX(0,Project_Register!$V$13-O54),MAX(0,Project_Register!$V$13-O54)/(Project_Register!$J$13-Assumptions!P$201+1))))</f>
        <v>0</v>
      </c>
      <c r="Q28" s="67" t="n">
        <f aca="false">IF(Q$5="A",Inputs_Actuals!Q137,IF(Assumptions!Q$201&lt;Project_Register!$I$13,0,IF(Assumptions!Q$201&gt;=Project_Register!$J$13,MAX(0,Project_Register!$V$13-P54),MAX(0,Project_Register!$V$13-P54)/(Project_Register!$J$13-Assumptions!Q$201+1))))</f>
        <v>0</v>
      </c>
      <c r="R28" s="67" t="n">
        <f aca="false">IF(R$5="A",Inputs_Actuals!R137,IF(Assumptions!R$201&lt;Project_Register!$I$13,0,IF(Assumptions!R$201&gt;=Project_Register!$J$13,MAX(0,Project_Register!$V$13-Q54),MAX(0,Project_Register!$V$13-Q54)/(Project_Register!$J$13-Assumptions!R$201+1))))</f>
        <v>0</v>
      </c>
      <c r="S28" s="67" t="n">
        <f aca="false">IF(S$5="A",Inputs_Actuals!S137,IF(Assumptions!S$201&lt;Project_Register!$I$13,0,IF(Assumptions!S$201&gt;=Project_Register!$J$13,MAX(0,Project_Register!$V$13-R54),MAX(0,Project_Register!$V$13-R54)/(Project_Register!$J$13-Assumptions!S$201+1))))</f>
        <v>0</v>
      </c>
      <c r="T28" s="67" t="n">
        <f aca="false">IF(T$5="A",Inputs_Actuals!T137,IF(Assumptions!T$201&lt;Project_Register!$I$13,0,IF(Assumptions!T$201&gt;=Project_Register!$J$13,MAX(0,Project_Register!$V$13-S54),MAX(0,Project_Register!$V$13-S54)/(Project_Register!$J$13-Assumptions!T$201+1))))</f>
        <v>0</v>
      </c>
      <c r="U28" s="67" t="n">
        <f aca="false">IF(U$5="A",Inputs_Actuals!U137,IF(Assumptions!U$201&lt;Project_Register!$I$13,0,IF(Assumptions!U$201&gt;=Project_Register!$J$13,MAX(0,Project_Register!$V$13-T54),MAX(0,Project_Register!$V$13-T54)/(Project_Register!$J$13-Assumptions!U$201+1))))</f>
        <v>0</v>
      </c>
      <c r="V28" s="67" t="n">
        <f aca="false">IF(V$5="A",Inputs_Actuals!V137,IF(Assumptions!V$201&lt;Project_Register!$I$13,0,IF(Assumptions!V$201&gt;=Project_Register!$J$13,MAX(0,Project_Register!$V$13-U54),MAX(0,Project_Register!$V$13-U54)/(Project_Register!$J$13-Assumptions!V$201+1))))</f>
        <v>0</v>
      </c>
      <c r="W28" s="67" t="n">
        <f aca="false">IF(W$5="A",Inputs_Actuals!W137,IF(Assumptions!W$201&lt;Project_Register!$I$13,0,IF(Assumptions!W$201&gt;=Project_Register!$J$13,MAX(0,Project_Register!$V$13-V54),MAX(0,Project_Register!$V$13-V54)/(Project_Register!$J$13-Assumptions!W$201+1))))</f>
        <v>0</v>
      </c>
      <c r="X28" s="67" t="n">
        <f aca="false">IF(X$5="A",Inputs_Actuals!X137,IF(Assumptions!X$201&lt;Project_Register!$I$13,0,IF(Assumptions!X$201&gt;=Project_Register!$J$13,MAX(0,Project_Register!$V$13-W54),MAX(0,Project_Register!$V$13-W54)/(Project_Register!$J$13-Assumptions!X$201+1))))</f>
        <v>0</v>
      </c>
      <c r="Y28" s="67" t="n">
        <f aca="false">IF(Y$5="A",Inputs_Actuals!Y137,IF(Assumptions!Y$201&lt;Project_Register!$I$13,0,IF(Assumptions!Y$201&gt;=Project_Register!$J$13,MAX(0,Project_Register!$V$13-X54),MAX(0,Project_Register!$V$13-X54)/(Project_Register!$J$13-Assumptions!Y$201+1))))</f>
        <v>0</v>
      </c>
      <c r="Z28" s="67" t="n">
        <f aca="false">IF(Z$5="A",Inputs_Actuals!Z137,IF(Assumptions!Z$201&lt;Project_Register!$I$13,0,IF(Assumptions!Z$201&gt;=Project_Register!$J$13,MAX(0,Project_Register!$V$13-Y54),MAX(0,Project_Register!$V$13-Y54)/(Project_Register!$J$13-Assumptions!Z$201+1))))</f>
        <v>0</v>
      </c>
      <c r="AA28" s="67" t="n">
        <f aca="false">IF(AA$5="A",Inputs_Actuals!AA137,IF(Assumptions!AA$201&lt;Project_Register!$I$13,0,IF(Assumptions!AA$201&gt;=Project_Register!$J$13,MAX(0,Project_Register!$V$13-Z54),MAX(0,Project_Register!$V$13-Z54)/(Project_Register!$J$13-Assumptions!AA$201+1))))</f>
        <v>0</v>
      </c>
      <c r="AB28" s="67" t="n">
        <f aca="false">IF(AB$5="A",Inputs_Actuals!AB137,IF(Assumptions!AB$201&lt;Project_Register!$I$13,0,IF(Assumptions!AB$201&gt;=Project_Register!$J$13,MAX(0,Project_Register!$V$13-AA54),MAX(0,Project_Register!$V$13-AA54)/(Project_Register!$J$13-Assumptions!AB$201+1))))</f>
        <v>0</v>
      </c>
    </row>
    <row r="29" customFormat="false" ht="15" hidden="false" customHeight="false" outlineLevel="0" collapsed="false">
      <c r="A29" s="27" t="s">
        <v>947</v>
      </c>
      <c r="B29" s="63"/>
      <c r="C29" s="66" t="n">
        <f aca="false">SUM(E29:P29)</f>
        <v>0</v>
      </c>
      <c r="D29" s="66" t="n">
        <f aca="false">SUM(Q29:AB29)</f>
        <v>0</v>
      </c>
      <c r="E29" s="67" t="n">
        <f aca="false">IF(E$5="A",Inputs_Actuals!E139,IF(Assumptions!E$201&lt;Project_Register!$I$14,0,IF(Assumptions!E$201&gt;=Project_Register!$J$14,MAX(0,Project_Register!$V$14-Project_Register!$N$14),MAX(0,Project_Register!$V$14-Project_Register!$N$14)/(Project_Register!$J$14-Assumptions!E$201+1))))</f>
        <v>0</v>
      </c>
      <c r="F29" s="67" t="n">
        <f aca="false">IF(F$5="A",Inputs_Actuals!F139,IF(Assumptions!F$201&lt;Project_Register!$I$14,0,IF(Assumptions!F$201&gt;=Project_Register!$J$14,MAX(0,Project_Register!$V$14-E55),MAX(0,Project_Register!$V$14-E55)/(Project_Register!$J$14-Assumptions!F$201+1))))</f>
        <v>0</v>
      </c>
      <c r="G29" s="67" t="n">
        <f aca="false">IF(G$5="A",Inputs_Actuals!G139,IF(Assumptions!G$201&lt;Project_Register!$I$14,0,IF(Assumptions!G$201&gt;=Project_Register!$J$14,MAX(0,Project_Register!$V$14-F55),MAX(0,Project_Register!$V$14-F55)/(Project_Register!$J$14-Assumptions!G$201+1))))</f>
        <v>0</v>
      </c>
      <c r="H29" s="67" t="n">
        <f aca="false">IF(H$5="A",Inputs_Actuals!H139,IF(Assumptions!H$201&lt;Project_Register!$I$14,0,IF(Assumptions!H$201&gt;=Project_Register!$J$14,MAX(0,Project_Register!$V$14-G55),MAX(0,Project_Register!$V$14-G55)/(Project_Register!$J$14-Assumptions!H$201+1))))</f>
        <v>0</v>
      </c>
      <c r="I29" s="67" t="n">
        <f aca="false">IF(I$5="A",Inputs_Actuals!I139,IF(Assumptions!I$201&lt;Project_Register!$I$14,0,IF(Assumptions!I$201&gt;=Project_Register!$J$14,MAX(0,Project_Register!$V$14-H55),MAX(0,Project_Register!$V$14-H55)/(Project_Register!$J$14-Assumptions!I$201+1))))</f>
        <v>0</v>
      </c>
      <c r="J29" s="67" t="n">
        <f aca="false">IF(J$5="A",Inputs_Actuals!J139,IF(Assumptions!J$201&lt;Project_Register!$I$14,0,IF(Assumptions!J$201&gt;=Project_Register!$J$14,MAX(0,Project_Register!$V$14-I55),MAX(0,Project_Register!$V$14-I55)/(Project_Register!$J$14-Assumptions!J$201+1))))</f>
        <v>0</v>
      </c>
      <c r="K29" s="67" t="n">
        <f aca="false">IF(K$5="A",Inputs_Actuals!K139,IF(Assumptions!K$201&lt;Project_Register!$I$14,0,IF(Assumptions!K$201&gt;=Project_Register!$J$14,MAX(0,Project_Register!$V$14-J55),MAX(0,Project_Register!$V$14-J55)/(Project_Register!$J$14-Assumptions!K$201+1))))</f>
        <v>0</v>
      </c>
      <c r="L29" s="67" t="n">
        <f aca="false">IF(L$5="A",Inputs_Actuals!L139,IF(Assumptions!L$201&lt;Project_Register!$I$14,0,IF(Assumptions!L$201&gt;=Project_Register!$J$14,MAX(0,Project_Register!$V$14-K55),MAX(0,Project_Register!$V$14-K55)/(Project_Register!$J$14-Assumptions!L$201+1))))</f>
        <v>0</v>
      </c>
      <c r="M29" s="67" t="n">
        <f aca="false">IF(M$5="A",Inputs_Actuals!M139,IF(Assumptions!M$201&lt;Project_Register!$I$14,0,IF(Assumptions!M$201&gt;=Project_Register!$J$14,MAX(0,Project_Register!$V$14-L55),MAX(0,Project_Register!$V$14-L55)/(Project_Register!$J$14-Assumptions!M$201+1))))</f>
        <v>0</v>
      </c>
      <c r="N29" s="67" t="n">
        <f aca="false">IF(N$5="A",Inputs_Actuals!N139,IF(Assumptions!N$201&lt;Project_Register!$I$14,0,IF(Assumptions!N$201&gt;=Project_Register!$J$14,MAX(0,Project_Register!$V$14-M55),MAX(0,Project_Register!$V$14-M55)/(Project_Register!$J$14-Assumptions!N$201+1))))</f>
        <v>0</v>
      </c>
      <c r="O29" s="67" t="n">
        <f aca="false">IF(O$5="A",Inputs_Actuals!O139,IF(Assumptions!O$201&lt;Project_Register!$I$14,0,IF(Assumptions!O$201&gt;=Project_Register!$J$14,MAX(0,Project_Register!$V$14-N55),MAX(0,Project_Register!$V$14-N55)/(Project_Register!$J$14-Assumptions!O$201+1))))</f>
        <v>0</v>
      </c>
      <c r="P29" s="67" t="n">
        <f aca="false">IF(P$5="A",Inputs_Actuals!P139,IF(Assumptions!P$201&lt;Project_Register!$I$14,0,IF(Assumptions!P$201&gt;=Project_Register!$J$14,MAX(0,Project_Register!$V$14-O55),MAX(0,Project_Register!$V$14-O55)/(Project_Register!$J$14-Assumptions!P$201+1))))</f>
        <v>0</v>
      </c>
      <c r="Q29" s="67" t="n">
        <f aca="false">IF(Q$5="A",Inputs_Actuals!Q139,IF(Assumptions!Q$201&lt;Project_Register!$I$14,0,IF(Assumptions!Q$201&gt;=Project_Register!$J$14,MAX(0,Project_Register!$V$14-P55),MAX(0,Project_Register!$V$14-P55)/(Project_Register!$J$14-Assumptions!Q$201+1))))</f>
        <v>0</v>
      </c>
      <c r="R29" s="67" t="n">
        <f aca="false">IF(R$5="A",Inputs_Actuals!R139,IF(Assumptions!R$201&lt;Project_Register!$I$14,0,IF(Assumptions!R$201&gt;=Project_Register!$J$14,MAX(0,Project_Register!$V$14-Q55),MAX(0,Project_Register!$V$14-Q55)/(Project_Register!$J$14-Assumptions!R$201+1))))</f>
        <v>0</v>
      </c>
      <c r="S29" s="67" t="n">
        <f aca="false">IF(S$5="A",Inputs_Actuals!S139,IF(Assumptions!S$201&lt;Project_Register!$I$14,0,IF(Assumptions!S$201&gt;=Project_Register!$J$14,MAX(0,Project_Register!$V$14-R55),MAX(0,Project_Register!$V$14-R55)/(Project_Register!$J$14-Assumptions!S$201+1))))</f>
        <v>0</v>
      </c>
      <c r="T29" s="67" t="n">
        <f aca="false">IF(T$5="A",Inputs_Actuals!T139,IF(Assumptions!T$201&lt;Project_Register!$I$14,0,IF(Assumptions!T$201&gt;=Project_Register!$J$14,MAX(0,Project_Register!$V$14-S55),MAX(0,Project_Register!$V$14-S55)/(Project_Register!$J$14-Assumptions!T$201+1))))</f>
        <v>0</v>
      </c>
      <c r="U29" s="67" t="n">
        <f aca="false">IF(U$5="A",Inputs_Actuals!U139,IF(Assumptions!U$201&lt;Project_Register!$I$14,0,IF(Assumptions!U$201&gt;=Project_Register!$J$14,MAX(0,Project_Register!$V$14-T55),MAX(0,Project_Register!$V$14-T55)/(Project_Register!$J$14-Assumptions!U$201+1))))</f>
        <v>0</v>
      </c>
      <c r="V29" s="67" t="n">
        <f aca="false">IF(V$5="A",Inputs_Actuals!V139,IF(Assumptions!V$201&lt;Project_Register!$I$14,0,IF(Assumptions!V$201&gt;=Project_Register!$J$14,MAX(0,Project_Register!$V$14-U55),MAX(0,Project_Register!$V$14-U55)/(Project_Register!$J$14-Assumptions!V$201+1))))</f>
        <v>0</v>
      </c>
      <c r="W29" s="67" t="n">
        <f aca="false">IF(W$5="A",Inputs_Actuals!W139,IF(Assumptions!W$201&lt;Project_Register!$I$14,0,IF(Assumptions!W$201&gt;=Project_Register!$J$14,MAX(0,Project_Register!$V$14-V55),MAX(0,Project_Register!$V$14-V55)/(Project_Register!$J$14-Assumptions!W$201+1))))</f>
        <v>0</v>
      </c>
      <c r="X29" s="67" t="n">
        <f aca="false">IF(X$5="A",Inputs_Actuals!X139,IF(Assumptions!X$201&lt;Project_Register!$I$14,0,IF(Assumptions!X$201&gt;=Project_Register!$J$14,MAX(0,Project_Register!$V$14-W55),MAX(0,Project_Register!$V$14-W55)/(Project_Register!$J$14-Assumptions!X$201+1))))</f>
        <v>0</v>
      </c>
      <c r="Y29" s="67" t="n">
        <f aca="false">IF(Y$5="A",Inputs_Actuals!Y139,IF(Assumptions!Y$201&lt;Project_Register!$I$14,0,IF(Assumptions!Y$201&gt;=Project_Register!$J$14,MAX(0,Project_Register!$V$14-X55),MAX(0,Project_Register!$V$14-X55)/(Project_Register!$J$14-Assumptions!Y$201+1))))</f>
        <v>0</v>
      </c>
      <c r="Z29" s="67" t="n">
        <f aca="false">IF(Z$5="A",Inputs_Actuals!Z139,IF(Assumptions!Z$201&lt;Project_Register!$I$14,0,IF(Assumptions!Z$201&gt;=Project_Register!$J$14,MAX(0,Project_Register!$V$14-Y55),MAX(0,Project_Register!$V$14-Y55)/(Project_Register!$J$14-Assumptions!Z$201+1))))</f>
        <v>0</v>
      </c>
      <c r="AA29" s="67" t="n">
        <f aca="false">IF(AA$5="A",Inputs_Actuals!AA139,IF(Assumptions!AA$201&lt;Project_Register!$I$14,0,IF(Assumptions!AA$201&gt;=Project_Register!$J$14,MAX(0,Project_Register!$V$14-Z55),MAX(0,Project_Register!$V$14-Z55)/(Project_Register!$J$14-Assumptions!AA$201+1))))</f>
        <v>0</v>
      </c>
      <c r="AB29" s="67" t="n">
        <f aca="false">IF(AB$5="A",Inputs_Actuals!AB139,IF(Assumptions!AB$201&lt;Project_Register!$I$14,0,IF(Assumptions!AB$201&gt;=Project_Register!$J$14,MAX(0,Project_Register!$V$14-AA55),MAX(0,Project_Register!$V$14-AA55)/(Project_Register!$J$14-Assumptions!AB$201+1))))</f>
        <v>0</v>
      </c>
    </row>
    <row r="30" customFormat="false" ht="15" hidden="false" customHeight="false" outlineLevel="0" collapsed="false">
      <c r="A30" s="27" t="s">
        <v>948</v>
      </c>
      <c r="B30" s="63"/>
      <c r="C30" s="66" t="n">
        <f aca="false">SUM(E30:P30)</f>
        <v>0</v>
      </c>
      <c r="D30" s="66" t="n">
        <f aca="false">SUM(Q30:AB30)</f>
        <v>0</v>
      </c>
      <c r="E30" s="67" t="n">
        <f aca="false">IF(E$5="A",Inputs_Actuals!E141,IF(Assumptions!E$201&lt;Project_Register!$I$15,0,IF(Assumptions!E$201&gt;=Project_Register!$J$15,MAX(0,Project_Register!$V$15-Project_Register!$N$15),MAX(0,Project_Register!$V$15-Project_Register!$N$15)/(Project_Register!$J$15-Assumptions!E$201+1))))</f>
        <v>0</v>
      </c>
      <c r="F30" s="67" t="n">
        <f aca="false">IF(F$5="A",Inputs_Actuals!F141,IF(Assumptions!F$201&lt;Project_Register!$I$15,0,IF(Assumptions!F$201&gt;=Project_Register!$J$15,MAX(0,Project_Register!$V$15-E56),MAX(0,Project_Register!$V$15-E56)/(Project_Register!$J$15-Assumptions!F$201+1))))</f>
        <v>0</v>
      </c>
      <c r="G30" s="67" t="n">
        <f aca="false">IF(G$5="A",Inputs_Actuals!G141,IF(Assumptions!G$201&lt;Project_Register!$I$15,0,IF(Assumptions!G$201&gt;=Project_Register!$J$15,MAX(0,Project_Register!$V$15-F56),MAX(0,Project_Register!$V$15-F56)/(Project_Register!$J$15-Assumptions!G$201+1))))</f>
        <v>0</v>
      </c>
      <c r="H30" s="67" t="n">
        <f aca="false">IF(H$5="A",Inputs_Actuals!H141,IF(Assumptions!H$201&lt;Project_Register!$I$15,0,IF(Assumptions!H$201&gt;=Project_Register!$J$15,MAX(0,Project_Register!$V$15-G56),MAX(0,Project_Register!$V$15-G56)/(Project_Register!$J$15-Assumptions!H$201+1))))</f>
        <v>0</v>
      </c>
      <c r="I30" s="67" t="n">
        <f aca="false">IF(I$5="A",Inputs_Actuals!I141,IF(Assumptions!I$201&lt;Project_Register!$I$15,0,IF(Assumptions!I$201&gt;=Project_Register!$J$15,MAX(0,Project_Register!$V$15-H56),MAX(0,Project_Register!$V$15-H56)/(Project_Register!$J$15-Assumptions!I$201+1))))</f>
        <v>0</v>
      </c>
      <c r="J30" s="67" t="n">
        <f aca="false">IF(J$5="A",Inputs_Actuals!J141,IF(Assumptions!J$201&lt;Project_Register!$I$15,0,IF(Assumptions!J$201&gt;=Project_Register!$J$15,MAX(0,Project_Register!$V$15-I56),MAX(0,Project_Register!$V$15-I56)/(Project_Register!$J$15-Assumptions!J$201+1))))</f>
        <v>0</v>
      </c>
      <c r="K30" s="67" t="n">
        <f aca="false">IF(K$5="A",Inputs_Actuals!K141,IF(Assumptions!K$201&lt;Project_Register!$I$15,0,IF(Assumptions!K$201&gt;=Project_Register!$J$15,MAX(0,Project_Register!$V$15-J56),MAX(0,Project_Register!$V$15-J56)/(Project_Register!$J$15-Assumptions!K$201+1))))</f>
        <v>0</v>
      </c>
      <c r="L30" s="67" t="n">
        <f aca="false">IF(L$5="A",Inputs_Actuals!L141,IF(Assumptions!L$201&lt;Project_Register!$I$15,0,IF(Assumptions!L$201&gt;=Project_Register!$J$15,MAX(0,Project_Register!$V$15-K56),MAX(0,Project_Register!$V$15-K56)/(Project_Register!$J$15-Assumptions!L$201+1))))</f>
        <v>0</v>
      </c>
      <c r="M30" s="67" t="n">
        <f aca="false">IF(M$5="A",Inputs_Actuals!M141,IF(Assumptions!M$201&lt;Project_Register!$I$15,0,IF(Assumptions!M$201&gt;=Project_Register!$J$15,MAX(0,Project_Register!$V$15-L56),MAX(0,Project_Register!$V$15-L56)/(Project_Register!$J$15-Assumptions!M$201+1))))</f>
        <v>0</v>
      </c>
      <c r="N30" s="67" t="n">
        <f aca="false">IF(N$5="A",Inputs_Actuals!N141,IF(Assumptions!N$201&lt;Project_Register!$I$15,0,IF(Assumptions!N$201&gt;=Project_Register!$J$15,MAX(0,Project_Register!$V$15-M56),MAX(0,Project_Register!$V$15-M56)/(Project_Register!$J$15-Assumptions!N$201+1))))</f>
        <v>0</v>
      </c>
      <c r="O30" s="67" t="n">
        <f aca="false">IF(O$5="A",Inputs_Actuals!O141,IF(Assumptions!O$201&lt;Project_Register!$I$15,0,IF(Assumptions!O$201&gt;=Project_Register!$J$15,MAX(0,Project_Register!$V$15-N56),MAX(0,Project_Register!$V$15-N56)/(Project_Register!$J$15-Assumptions!O$201+1))))</f>
        <v>0</v>
      </c>
      <c r="P30" s="67" t="n">
        <f aca="false">IF(P$5="A",Inputs_Actuals!P141,IF(Assumptions!P$201&lt;Project_Register!$I$15,0,IF(Assumptions!P$201&gt;=Project_Register!$J$15,MAX(0,Project_Register!$V$15-O56),MAX(0,Project_Register!$V$15-O56)/(Project_Register!$J$15-Assumptions!P$201+1))))</f>
        <v>0</v>
      </c>
      <c r="Q30" s="67" t="n">
        <f aca="false">IF(Q$5="A",Inputs_Actuals!Q141,IF(Assumptions!Q$201&lt;Project_Register!$I$15,0,IF(Assumptions!Q$201&gt;=Project_Register!$J$15,MAX(0,Project_Register!$V$15-P56),MAX(0,Project_Register!$V$15-P56)/(Project_Register!$J$15-Assumptions!Q$201+1))))</f>
        <v>0</v>
      </c>
      <c r="R30" s="67" t="n">
        <f aca="false">IF(R$5="A",Inputs_Actuals!R141,IF(Assumptions!R$201&lt;Project_Register!$I$15,0,IF(Assumptions!R$201&gt;=Project_Register!$J$15,MAX(0,Project_Register!$V$15-Q56),MAX(0,Project_Register!$V$15-Q56)/(Project_Register!$J$15-Assumptions!R$201+1))))</f>
        <v>0</v>
      </c>
      <c r="S30" s="67" t="n">
        <f aca="false">IF(S$5="A",Inputs_Actuals!S141,IF(Assumptions!S$201&lt;Project_Register!$I$15,0,IF(Assumptions!S$201&gt;=Project_Register!$J$15,MAX(0,Project_Register!$V$15-R56),MAX(0,Project_Register!$V$15-R56)/(Project_Register!$J$15-Assumptions!S$201+1))))</f>
        <v>0</v>
      </c>
      <c r="T30" s="67" t="n">
        <f aca="false">IF(T$5="A",Inputs_Actuals!T141,IF(Assumptions!T$201&lt;Project_Register!$I$15,0,IF(Assumptions!T$201&gt;=Project_Register!$J$15,MAX(0,Project_Register!$V$15-S56),MAX(0,Project_Register!$V$15-S56)/(Project_Register!$J$15-Assumptions!T$201+1))))</f>
        <v>0</v>
      </c>
      <c r="U30" s="67" t="n">
        <f aca="false">IF(U$5="A",Inputs_Actuals!U141,IF(Assumptions!U$201&lt;Project_Register!$I$15,0,IF(Assumptions!U$201&gt;=Project_Register!$J$15,MAX(0,Project_Register!$V$15-T56),MAX(0,Project_Register!$V$15-T56)/(Project_Register!$J$15-Assumptions!U$201+1))))</f>
        <v>0</v>
      </c>
      <c r="V30" s="67" t="n">
        <f aca="false">IF(V$5="A",Inputs_Actuals!V141,IF(Assumptions!V$201&lt;Project_Register!$I$15,0,IF(Assumptions!V$201&gt;=Project_Register!$J$15,MAX(0,Project_Register!$V$15-U56),MAX(0,Project_Register!$V$15-U56)/(Project_Register!$J$15-Assumptions!V$201+1))))</f>
        <v>0</v>
      </c>
      <c r="W30" s="67" t="n">
        <f aca="false">IF(W$5="A",Inputs_Actuals!W141,IF(Assumptions!W$201&lt;Project_Register!$I$15,0,IF(Assumptions!W$201&gt;=Project_Register!$J$15,MAX(0,Project_Register!$V$15-V56),MAX(0,Project_Register!$V$15-V56)/(Project_Register!$J$15-Assumptions!W$201+1))))</f>
        <v>0</v>
      </c>
      <c r="X30" s="67" t="n">
        <f aca="false">IF(X$5="A",Inputs_Actuals!X141,IF(Assumptions!X$201&lt;Project_Register!$I$15,0,IF(Assumptions!X$201&gt;=Project_Register!$J$15,MAX(0,Project_Register!$V$15-W56),MAX(0,Project_Register!$V$15-W56)/(Project_Register!$J$15-Assumptions!X$201+1))))</f>
        <v>0</v>
      </c>
      <c r="Y30" s="67" t="n">
        <f aca="false">IF(Y$5="A",Inputs_Actuals!Y141,IF(Assumptions!Y$201&lt;Project_Register!$I$15,0,IF(Assumptions!Y$201&gt;=Project_Register!$J$15,MAX(0,Project_Register!$V$15-X56),MAX(0,Project_Register!$V$15-X56)/(Project_Register!$J$15-Assumptions!Y$201+1))))</f>
        <v>0</v>
      </c>
      <c r="Z30" s="67" t="n">
        <f aca="false">IF(Z$5="A",Inputs_Actuals!Z141,IF(Assumptions!Z$201&lt;Project_Register!$I$15,0,IF(Assumptions!Z$201&gt;=Project_Register!$J$15,MAX(0,Project_Register!$V$15-Y56),MAX(0,Project_Register!$V$15-Y56)/(Project_Register!$J$15-Assumptions!Z$201+1))))</f>
        <v>0</v>
      </c>
      <c r="AA30" s="67" t="n">
        <f aca="false">IF(AA$5="A",Inputs_Actuals!AA141,IF(Assumptions!AA$201&lt;Project_Register!$I$15,0,IF(Assumptions!AA$201&gt;=Project_Register!$J$15,MAX(0,Project_Register!$V$15-Z56),MAX(0,Project_Register!$V$15-Z56)/(Project_Register!$J$15-Assumptions!AA$201+1))))</f>
        <v>0</v>
      </c>
      <c r="AB30" s="67" t="n">
        <f aca="false">IF(AB$5="A",Inputs_Actuals!AB141,IF(Assumptions!AB$201&lt;Project_Register!$I$15,0,IF(Assumptions!AB$201&gt;=Project_Register!$J$15,MAX(0,Project_Register!$V$15-AA56),MAX(0,Project_Register!$V$15-AA56)/(Project_Register!$J$15-Assumptions!AB$201+1))))</f>
        <v>0</v>
      </c>
    </row>
    <row r="31" customFormat="false" ht="15" hidden="false" customHeight="false" outlineLevel="0" collapsed="false">
      <c r="A31" s="27" t="s">
        <v>949</v>
      </c>
      <c r="B31" s="63"/>
      <c r="C31" s="66" t="n">
        <f aca="false">SUM(E31:P31)</f>
        <v>0</v>
      </c>
      <c r="D31" s="66" t="n">
        <f aca="false">SUM(Q31:AB31)</f>
        <v>0</v>
      </c>
      <c r="E31" s="67" t="n">
        <f aca="false">IF(E$5="A",Inputs_Actuals!E143,IF(Assumptions!E$201&lt;Project_Register!$I$16,0,IF(Assumptions!E$201&gt;=Project_Register!$J$16,MAX(0,Project_Register!$V$16-Project_Register!$N$16),MAX(0,Project_Register!$V$16-Project_Register!$N$16)/(Project_Register!$J$16-Assumptions!E$201+1))))</f>
        <v>0</v>
      </c>
      <c r="F31" s="67" t="n">
        <f aca="false">IF(F$5="A",Inputs_Actuals!F143,IF(Assumptions!F$201&lt;Project_Register!$I$16,0,IF(Assumptions!F$201&gt;=Project_Register!$J$16,MAX(0,Project_Register!$V$16-E57),MAX(0,Project_Register!$V$16-E57)/(Project_Register!$J$16-Assumptions!F$201+1))))</f>
        <v>0</v>
      </c>
      <c r="G31" s="67" t="n">
        <f aca="false">IF(G$5="A",Inputs_Actuals!G143,IF(Assumptions!G$201&lt;Project_Register!$I$16,0,IF(Assumptions!G$201&gt;=Project_Register!$J$16,MAX(0,Project_Register!$V$16-F57),MAX(0,Project_Register!$V$16-F57)/(Project_Register!$J$16-Assumptions!G$201+1))))</f>
        <v>0</v>
      </c>
      <c r="H31" s="67" t="n">
        <f aca="false">IF(H$5="A",Inputs_Actuals!H143,IF(Assumptions!H$201&lt;Project_Register!$I$16,0,IF(Assumptions!H$201&gt;=Project_Register!$J$16,MAX(0,Project_Register!$V$16-G57),MAX(0,Project_Register!$V$16-G57)/(Project_Register!$J$16-Assumptions!H$201+1))))</f>
        <v>0</v>
      </c>
      <c r="I31" s="67" t="n">
        <f aca="false">IF(I$5="A",Inputs_Actuals!I143,IF(Assumptions!I$201&lt;Project_Register!$I$16,0,IF(Assumptions!I$201&gt;=Project_Register!$J$16,MAX(0,Project_Register!$V$16-H57),MAX(0,Project_Register!$V$16-H57)/(Project_Register!$J$16-Assumptions!I$201+1))))</f>
        <v>0</v>
      </c>
      <c r="J31" s="67" t="n">
        <f aca="false">IF(J$5="A",Inputs_Actuals!J143,IF(Assumptions!J$201&lt;Project_Register!$I$16,0,IF(Assumptions!J$201&gt;=Project_Register!$J$16,MAX(0,Project_Register!$V$16-I57),MAX(0,Project_Register!$V$16-I57)/(Project_Register!$J$16-Assumptions!J$201+1))))</f>
        <v>0</v>
      </c>
      <c r="K31" s="67" t="n">
        <f aca="false">IF(K$5="A",Inputs_Actuals!K143,IF(Assumptions!K$201&lt;Project_Register!$I$16,0,IF(Assumptions!K$201&gt;=Project_Register!$J$16,MAX(0,Project_Register!$V$16-J57),MAX(0,Project_Register!$V$16-J57)/(Project_Register!$J$16-Assumptions!K$201+1))))</f>
        <v>0</v>
      </c>
      <c r="L31" s="67" t="n">
        <f aca="false">IF(L$5="A",Inputs_Actuals!L143,IF(Assumptions!L$201&lt;Project_Register!$I$16,0,IF(Assumptions!L$201&gt;=Project_Register!$J$16,MAX(0,Project_Register!$V$16-K57),MAX(0,Project_Register!$V$16-K57)/(Project_Register!$J$16-Assumptions!L$201+1))))</f>
        <v>0</v>
      </c>
      <c r="M31" s="67" t="n">
        <f aca="false">IF(M$5="A",Inputs_Actuals!M143,IF(Assumptions!M$201&lt;Project_Register!$I$16,0,IF(Assumptions!M$201&gt;=Project_Register!$J$16,MAX(0,Project_Register!$V$16-L57),MAX(0,Project_Register!$V$16-L57)/(Project_Register!$J$16-Assumptions!M$201+1))))</f>
        <v>0</v>
      </c>
      <c r="N31" s="67" t="n">
        <f aca="false">IF(N$5="A",Inputs_Actuals!N143,IF(Assumptions!N$201&lt;Project_Register!$I$16,0,IF(Assumptions!N$201&gt;=Project_Register!$J$16,MAX(0,Project_Register!$V$16-M57),MAX(0,Project_Register!$V$16-M57)/(Project_Register!$J$16-Assumptions!N$201+1))))</f>
        <v>0</v>
      </c>
      <c r="O31" s="67" t="n">
        <f aca="false">IF(O$5="A",Inputs_Actuals!O143,IF(Assumptions!O$201&lt;Project_Register!$I$16,0,IF(Assumptions!O$201&gt;=Project_Register!$J$16,MAX(0,Project_Register!$V$16-N57),MAX(0,Project_Register!$V$16-N57)/(Project_Register!$J$16-Assumptions!O$201+1))))</f>
        <v>0</v>
      </c>
      <c r="P31" s="67" t="n">
        <f aca="false">IF(P$5="A",Inputs_Actuals!P143,IF(Assumptions!P$201&lt;Project_Register!$I$16,0,IF(Assumptions!P$201&gt;=Project_Register!$J$16,MAX(0,Project_Register!$V$16-O57),MAX(0,Project_Register!$V$16-O57)/(Project_Register!$J$16-Assumptions!P$201+1))))</f>
        <v>0</v>
      </c>
      <c r="Q31" s="67" t="n">
        <f aca="false">IF(Q$5="A",Inputs_Actuals!Q143,IF(Assumptions!Q$201&lt;Project_Register!$I$16,0,IF(Assumptions!Q$201&gt;=Project_Register!$J$16,MAX(0,Project_Register!$V$16-P57),MAX(0,Project_Register!$V$16-P57)/(Project_Register!$J$16-Assumptions!Q$201+1))))</f>
        <v>0</v>
      </c>
      <c r="R31" s="67" t="n">
        <f aca="false">IF(R$5="A",Inputs_Actuals!R143,IF(Assumptions!R$201&lt;Project_Register!$I$16,0,IF(Assumptions!R$201&gt;=Project_Register!$J$16,MAX(0,Project_Register!$V$16-Q57),MAX(0,Project_Register!$V$16-Q57)/(Project_Register!$J$16-Assumptions!R$201+1))))</f>
        <v>0</v>
      </c>
      <c r="S31" s="67" t="n">
        <f aca="false">IF(S$5="A",Inputs_Actuals!S143,IF(Assumptions!S$201&lt;Project_Register!$I$16,0,IF(Assumptions!S$201&gt;=Project_Register!$J$16,MAX(0,Project_Register!$V$16-R57),MAX(0,Project_Register!$V$16-R57)/(Project_Register!$J$16-Assumptions!S$201+1))))</f>
        <v>0</v>
      </c>
      <c r="T31" s="67" t="n">
        <f aca="false">IF(T$5="A",Inputs_Actuals!T143,IF(Assumptions!T$201&lt;Project_Register!$I$16,0,IF(Assumptions!T$201&gt;=Project_Register!$J$16,MAX(0,Project_Register!$V$16-S57),MAX(0,Project_Register!$V$16-S57)/(Project_Register!$J$16-Assumptions!T$201+1))))</f>
        <v>0</v>
      </c>
      <c r="U31" s="67" t="n">
        <f aca="false">IF(U$5="A",Inputs_Actuals!U143,IF(Assumptions!U$201&lt;Project_Register!$I$16,0,IF(Assumptions!U$201&gt;=Project_Register!$J$16,MAX(0,Project_Register!$V$16-T57),MAX(0,Project_Register!$V$16-T57)/(Project_Register!$J$16-Assumptions!U$201+1))))</f>
        <v>0</v>
      </c>
      <c r="V31" s="67" t="n">
        <f aca="false">IF(V$5="A",Inputs_Actuals!V143,IF(Assumptions!V$201&lt;Project_Register!$I$16,0,IF(Assumptions!V$201&gt;=Project_Register!$J$16,MAX(0,Project_Register!$V$16-U57),MAX(0,Project_Register!$V$16-U57)/(Project_Register!$J$16-Assumptions!V$201+1))))</f>
        <v>0</v>
      </c>
      <c r="W31" s="67" t="n">
        <f aca="false">IF(W$5="A",Inputs_Actuals!W143,IF(Assumptions!W$201&lt;Project_Register!$I$16,0,IF(Assumptions!W$201&gt;=Project_Register!$J$16,MAX(0,Project_Register!$V$16-V57),MAX(0,Project_Register!$V$16-V57)/(Project_Register!$J$16-Assumptions!W$201+1))))</f>
        <v>0</v>
      </c>
      <c r="X31" s="67" t="n">
        <f aca="false">IF(X$5="A",Inputs_Actuals!X143,IF(Assumptions!X$201&lt;Project_Register!$I$16,0,IF(Assumptions!X$201&gt;=Project_Register!$J$16,MAX(0,Project_Register!$V$16-W57),MAX(0,Project_Register!$V$16-W57)/(Project_Register!$J$16-Assumptions!X$201+1))))</f>
        <v>0</v>
      </c>
      <c r="Y31" s="67" t="n">
        <f aca="false">IF(Y$5="A",Inputs_Actuals!Y143,IF(Assumptions!Y$201&lt;Project_Register!$I$16,0,IF(Assumptions!Y$201&gt;=Project_Register!$J$16,MAX(0,Project_Register!$V$16-X57),MAX(0,Project_Register!$V$16-X57)/(Project_Register!$J$16-Assumptions!Y$201+1))))</f>
        <v>0</v>
      </c>
      <c r="Z31" s="67" t="n">
        <f aca="false">IF(Z$5="A",Inputs_Actuals!Z143,IF(Assumptions!Z$201&lt;Project_Register!$I$16,0,IF(Assumptions!Z$201&gt;=Project_Register!$J$16,MAX(0,Project_Register!$V$16-Y57),MAX(0,Project_Register!$V$16-Y57)/(Project_Register!$J$16-Assumptions!Z$201+1))))</f>
        <v>0</v>
      </c>
      <c r="AA31" s="67" t="n">
        <f aca="false">IF(AA$5="A",Inputs_Actuals!AA143,IF(Assumptions!AA$201&lt;Project_Register!$I$16,0,IF(Assumptions!AA$201&gt;=Project_Register!$J$16,MAX(0,Project_Register!$V$16-Z57),MAX(0,Project_Register!$V$16-Z57)/(Project_Register!$J$16-Assumptions!AA$201+1))))</f>
        <v>0</v>
      </c>
      <c r="AB31" s="67" t="n">
        <f aca="false">IF(AB$5="A",Inputs_Actuals!AB143,IF(Assumptions!AB$201&lt;Project_Register!$I$16,0,IF(Assumptions!AB$201&gt;=Project_Register!$J$16,MAX(0,Project_Register!$V$16-AA57),MAX(0,Project_Register!$V$16-AA57)/(Project_Register!$J$16-Assumptions!AB$201+1))))</f>
        <v>0</v>
      </c>
    </row>
    <row r="32" customFormat="false" ht="15" hidden="false" customHeight="false" outlineLevel="0" collapsed="false">
      <c r="A32" s="27" t="s">
        <v>950</v>
      </c>
      <c r="B32" s="63"/>
      <c r="C32" s="66" t="n">
        <f aca="false">SUM(E32:P32)</f>
        <v>0</v>
      </c>
      <c r="D32" s="66" t="n">
        <f aca="false">SUM(Q32:AB32)</f>
        <v>0</v>
      </c>
      <c r="E32" s="67" t="n">
        <f aca="false">IF(E$5="A",Inputs_Actuals!E145,IF(Assumptions!E$201&lt;Project_Register!$I$17,0,IF(Assumptions!E$201&gt;=Project_Register!$J$17,MAX(0,Project_Register!$V$17-Project_Register!$N$17),MAX(0,Project_Register!$V$17-Project_Register!$N$17)/(Project_Register!$J$17-Assumptions!E$201+1))))</f>
        <v>0</v>
      </c>
      <c r="F32" s="67" t="n">
        <f aca="false">IF(F$5="A",Inputs_Actuals!F145,IF(Assumptions!F$201&lt;Project_Register!$I$17,0,IF(Assumptions!F$201&gt;=Project_Register!$J$17,MAX(0,Project_Register!$V$17-E58),MAX(0,Project_Register!$V$17-E58)/(Project_Register!$J$17-Assumptions!F$201+1))))</f>
        <v>0</v>
      </c>
      <c r="G32" s="67" t="n">
        <f aca="false">IF(G$5="A",Inputs_Actuals!G145,IF(Assumptions!G$201&lt;Project_Register!$I$17,0,IF(Assumptions!G$201&gt;=Project_Register!$J$17,MAX(0,Project_Register!$V$17-F58),MAX(0,Project_Register!$V$17-F58)/(Project_Register!$J$17-Assumptions!G$201+1))))</f>
        <v>0</v>
      </c>
      <c r="H32" s="67" t="n">
        <f aca="false">IF(H$5="A",Inputs_Actuals!H145,IF(Assumptions!H$201&lt;Project_Register!$I$17,0,IF(Assumptions!H$201&gt;=Project_Register!$J$17,MAX(0,Project_Register!$V$17-G58),MAX(0,Project_Register!$V$17-G58)/(Project_Register!$J$17-Assumptions!H$201+1))))</f>
        <v>0</v>
      </c>
      <c r="I32" s="67" t="n">
        <f aca="false">IF(I$5="A",Inputs_Actuals!I145,IF(Assumptions!I$201&lt;Project_Register!$I$17,0,IF(Assumptions!I$201&gt;=Project_Register!$J$17,MAX(0,Project_Register!$V$17-H58),MAX(0,Project_Register!$V$17-H58)/(Project_Register!$J$17-Assumptions!I$201+1))))</f>
        <v>0</v>
      </c>
      <c r="J32" s="67" t="n">
        <f aca="false">IF(J$5="A",Inputs_Actuals!J145,IF(Assumptions!J$201&lt;Project_Register!$I$17,0,IF(Assumptions!J$201&gt;=Project_Register!$J$17,MAX(0,Project_Register!$V$17-I58),MAX(0,Project_Register!$V$17-I58)/(Project_Register!$J$17-Assumptions!J$201+1))))</f>
        <v>0</v>
      </c>
      <c r="K32" s="67" t="n">
        <f aca="false">IF(K$5="A",Inputs_Actuals!K145,IF(Assumptions!K$201&lt;Project_Register!$I$17,0,IF(Assumptions!K$201&gt;=Project_Register!$J$17,MAX(0,Project_Register!$V$17-J58),MAX(0,Project_Register!$V$17-J58)/(Project_Register!$J$17-Assumptions!K$201+1))))</f>
        <v>0</v>
      </c>
      <c r="L32" s="67" t="n">
        <f aca="false">IF(L$5="A",Inputs_Actuals!L145,IF(Assumptions!L$201&lt;Project_Register!$I$17,0,IF(Assumptions!L$201&gt;=Project_Register!$J$17,MAX(0,Project_Register!$V$17-K58),MAX(0,Project_Register!$V$17-K58)/(Project_Register!$J$17-Assumptions!L$201+1))))</f>
        <v>0</v>
      </c>
      <c r="M32" s="67" t="n">
        <f aca="false">IF(M$5="A",Inputs_Actuals!M145,IF(Assumptions!M$201&lt;Project_Register!$I$17,0,IF(Assumptions!M$201&gt;=Project_Register!$J$17,MAX(0,Project_Register!$V$17-L58),MAX(0,Project_Register!$V$17-L58)/(Project_Register!$J$17-Assumptions!M$201+1))))</f>
        <v>0</v>
      </c>
      <c r="N32" s="67" t="n">
        <f aca="false">IF(N$5="A",Inputs_Actuals!N145,IF(Assumptions!N$201&lt;Project_Register!$I$17,0,IF(Assumptions!N$201&gt;=Project_Register!$J$17,MAX(0,Project_Register!$V$17-M58),MAX(0,Project_Register!$V$17-M58)/(Project_Register!$J$17-Assumptions!N$201+1))))</f>
        <v>0</v>
      </c>
      <c r="O32" s="67" t="n">
        <f aca="false">IF(O$5="A",Inputs_Actuals!O145,IF(Assumptions!O$201&lt;Project_Register!$I$17,0,IF(Assumptions!O$201&gt;=Project_Register!$J$17,MAX(0,Project_Register!$V$17-N58),MAX(0,Project_Register!$V$17-N58)/(Project_Register!$J$17-Assumptions!O$201+1))))</f>
        <v>0</v>
      </c>
      <c r="P32" s="67" t="n">
        <f aca="false">IF(P$5="A",Inputs_Actuals!P145,IF(Assumptions!P$201&lt;Project_Register!$I$17,0,IF(Assumptions!P$201&gt;=Project_Register!$J$17,MAX(0,Project_Register!$V$17-O58),MAX(0,Project_Register!$V$17-O58)/(Project_Register!$J$17-Assumptions!P$201+1))))</f>
        <v>0</v>
      </c>
      <c r="Q32" s="67" t="n">
        <f aca="false">IF(Q$5="A",Inputs_Actuals!Q145,IF(Assumptions!Q$201&lt;Project_Register!$I$17,0,IF(Assumptions!Q$201&gt;=Project_Register!$J$17,MAX(0,Project_Register!$V$17-P58),MAX(0,Project_Register!$V$17-P58)/(Project_Register!$J$17-Assumptions!Q$201+1))))</f>
        <v>0</v>
      </c>
      <c r="R32" s="67" t="n">
        <f aca="false">IF(R$5="A",Inputs_Actuals!R145,IF(Assumptions!R$201&lt;Project_Register!$I$17,0,IF(Assumptions!R$201&gt;=Project_Register!$J$17,MAX(0,Project_Register!$V$17-Q58),MAX(0,Project_Register!$V$17-Q58)/(Project_Register!$J$17-Assumptions!R$201+1))))</f>
        <v>0</v>
      </c>
      <c r="S32" s="67" t="n">
        <f aca="false">IF(S$5="A",Inputs_Actuals!S145,IF(Assumptions!S$201&lt;Project_Register!$I$17,0,IF(Assumptions!S$201&gt;=Project_Register!$J$17,MAX(0,Project_Register!$V$17-R58),MAX(0,Project_Register!$V$17-R58)/(Project_Register!$J$17-Assumptions!S$201+1))))</f>
        <v>0</v>
      </c>
      <c r="T32" s="67" t="n">
        <f aca="false">IF(T$5="A",Inputs_Actuals!T145,IF(Assumptions!T$201&lt;Project_Register!$I$17,0,IF(Assumptions!T$201&gt;=Project_Register!$J$17,MAX(0,Project_Register!$V$17-S58),MAX(0,Project_Register!$V$17-S58)/(Project_Register!$J$17-Assumptions!T$201+1))))</f>
        <v>0</v>
      </c>
      <c r="U32" s="67" t="n">
        <f aca="false">IF(U$5="A",Inputs_Actuals!U145,IF(Assumptions!U$201&lt;Project_Register!$I$17,0,IF(Assumptions!U$201&gt;=Project_Register!$J$17,MAX(0,Project_Register!$V$17-T58),MAX(0,Project_Register!$V$17-T58)/(Project_Register!$J$17-Assumptions!U$201+1))))</f>
        <v>0</v>
      </c>
      <c r="V32" s="67" t="n">
        <f aca="false">IF(V$5="A",Inputs_Actuals!V145,IF(Assumptions!V$201&lt;Project_Register!$I$17,0,IF(Assumptions!V$201&gt;=Project_Register!$J$17,MAX(0,Project_Register!$V$17-U58),MAX(0,Project_Register!$V$17-U58)/(Project_Register!$J$17-Assumptions!V$201+1))))</f>
        <v>0</v>
      </c>
      <c r="W32" s="67" t="n">
        <f aca="false">IF(W$5="A",Inputs_Actuals!W145,IF(Assumptions!W$201&lt;Project_Register!$I$17,0,IF(Assumptions!W$201&gt;=Project_Register!$J$17,MAX(0,Project_Register!$V$17-V58),MAX(0,Project_Register!$V$17-V58)/(Project_Register!$J$17-Assumptions!W$201+1))))</f>
        <v>0</v>
      </c>
      <c r="X32" s="67" t="n">
        <f aca="false">IF(X$5="A",Inputs_Actuals!X145,IF(Assumptions!X$201&lt;Project_Register!$I$17,0,IF(Assumptions!X$201&gt;=Project_Register!$J$17,MAX(0,Project_Register!$V$17-W58),MAX(0,Project_Register!$V$17-W58)/(Project_Register!$J$17-Assumptions!X$201+1))))</f>
        <v>0</v>
      </c>
      <c r="Y32" s="67" t="n">
        <f aca="false">IF(Y$5="A",Inputs_Actuals!Y145,IF(Assumptions!Y$201&lt;Project_Register!$I$17,0,IF(Assumptions!Y$201&gt;=Project_Register!$J$17,MAX(0,Project_Register!$V$17-X58),MAX(0,Project_Register!$V$17-X58)/(Project_Register!$J$17-Assumptions!Y$201+1))))</f>
        <v>0</v>
      </c>
      <c r="Z32" s="67" t="n">
        <f aca="false">IF(Z$5="A",Inputs_Actuals!Z145,IF(Assumptions!Z$201&lt;Project_Register!$I$17,0,IF(Assumptions!Z$201&gt;=Project_Register!$J$17,MAX(0,Project_Register!$V$17-Y58),MAX(0,Project_Register!$V$17-Y58)/(Project_Register!$J$17-Assumptions!Z$201+1))))</f>
        <v>0</v>
      </c>
      <c r="AA32" s="67" t="n">
        <f aca="false">IF(AA$5="A",Inputs_Actuals!AA145,IF(Assumptions!AA$201&lt;Project_Register!$I$17,0,IF(Assumptions!AA$201&gt;=Project_Register!$J$17,MAX(0,Project_Register!$V$17-Z58),MAX(0,Project_Register!$V$17-Z58)/(Project_Register!$J$17-Assumptions!AA$201+1))))</f>
        <v>0</v>
      </c>
      <c r="AB32" s="67" t="n">
        <f aca="false">IF(AB$5="A",Inputs_Actuals!AB145,IF(Assumptions!AB$201&lt;Project_Register!$I$17,0,IF(Assumptions!AB$201&gt;=Project_Register!$J$17,MAX(0,Project_Register!$V$17-AA58),MAX(0,Project_Register!$V$17-AA58)/(Project_Register!$J$17-Assumptions!AB$201+1))))</f>
        <v>0</v>
      </c>
    </row>
    <row r="33" customFormat="false" ht="15" hidden="false" customHeight="false" outlineLevel="0" collapsed="false">
      <c r="A33" s="27" t="s">
        <v>951</v>
      </c>
      <c r="B33" s="63"/>
      <c r="C33" s="66" t="n">
        <f aca="false">SUM(E33:P33)</f>
        <v>0</v>
      </c>
      <c r="D33" s="66" t="n">
        <f aca="false">SUM(Q33:AB33)</f>
        <v>0</v>
      </c>
      <c r="E33" s="67" t="n">
        <f aca="false">IF(E$5="A",Inputs_Actuals!E147,IF(Assumptions!E$201&lt;Project_Register!$I$18,0,IF(Assumptions!E$201&gt;=Project_Register!$J$18,MAX(0,Project_Register!$V$18-Project_Register!$N$18),MAX(0,Project_Register!$V$18-Project_Register!$N$18)/(Project_Register!$J$18-Assumptions!E$201+1))))</f>
        <v>0</v>
      </c>
      <c r="F33" s="67" t="n">
        <f aca="false">IF(F$5="A",Inputs_Actuals!F147,IF(Assumptions!F$201&lt;Project_Register!$I$18,0,IF(Assumptions!F$201&gt;=Project_Register!$J$18,MAX(0,Project_Register!$V$18-E59),MAX(0,Project_Register!$V$18-E59)/(Project_Register!$J$18-Assumptions!F$201+1))))</f>
        <v>0</v>
      </c>
      <c r="G33" s="67" t="n">
        <f aca="false">IF(G$5="A",Inputs_Actuals!G147,IF(Assumptions!G$201&lt;Project_Register!$I$18,0,IF(Assumptions!G$201&gt;=Project_Register!$J$18,MAX(0,Project_Register!$V$18-F59),MAX(0,Project_Register!$V$18-F59)/(Project_Register!$J$18-Assumptions!G$201+1))))</f>
        <v>0</v>
      </c>
      <c r="H33" s="67" t="n">
        <f aca="false">IF(H$5="A",Inputs_Actuals!H147,IF(Assumptions!H$201&lt;Project_Register!$I$18,0,IF(Assumptions!H$201&gt;=Project_Register!$J$18,MAX(0,Project_Register!$V$18-G59),MAX(0,Project_Register!$V$18-G59)/(Project_Register!$J$18-Assumptions!H$201+1))))</f>
        <v>0</v>
      </c>
      <c r="I33" s="67" t="n">
        <f aca="false">IF(I$5="A",Inputs_Actuals!I147,IF(Assumptions!I$201&lt;Project_Register!$I$18,0,IF(Assumptions!I$201&gt;=Project_Register!$J$18,MAX(0,Project_Register!$V$18-H59),MAX(0,Project_Register!$V$18-H59)/(Project_Register!$J$18-Assumptions!I$201+1))))</f>
        <v>0</v>
      </c>
      <c r="J33" s="67" t="n">
        <f aca="false">IF(J$5="A",Inputs_Actuals!J147,IF(Assumptions!J$201&lt;Project_Register!$I$18,0,IF(Assumptions!J$201&gt;=Project_Register!$J$18,MAX(0,Project_Register!$V$18-I59),MAX(0,Project_Register!$V$18-I59)/(Project_Register!$J$18-Assumptions!J$201+1))))</f>
        <v>0</v>
      </c>
      <c r="K33" s="67" t="n">
        <f aca="false">IF(K$5="A",Inputs_Actuals!K147,IF(Assumptions!K$201&lt;Project_Register!$I$18,0,IF(Assumptions!K$201&gt;=Project_Register!$J$18,MAX(0,Project_Register!$V$18-J59),MAX(0,Project_Register!$V$18-J59)/(Project_Register!$J$18-Assumptions!K$201+1))))</f>
        <v>0</v>
      </c>
      <c r="L33" s="67" t="n">
        <f aca="false">IF(L$5="A",Inputs_Actuals!L147,IF(Assumptions!L$201&lt;Project_Register!$I$18,0,IF(Assumptions!L$201&gt;=Project_Register!$J$18,MAX(0,Project_Register!$V$18-K59),MAX(0,Project_Register!$V$18-K59)/(Project_Register!$J$18-Assumptions!L$201+1))))</f>
        <v>0</v>
      </c>
      <c r="M33" s="67" t="n">
        <f aca="false">IF(M$5="A",Inputs_Actuals!M147,IF(Assumptions!M$201&lt;Project_Register!$I$18,0,IF(Assumptions!M$201&gt;=Project_Register!$J$18,MAX(0,Project_Register!$V$18-L59),MAX(0,Project_Register!$V$18-L59)/(Project_Register!$J$18-Assumptions!M$201+1))))</f>
        <v>0</v>
      </c>
      <c r="N33" s="67" t="n">
        <f aca="false">IF(N$5="A",Inputs_Actuals!N147,IF(Assumptions!N$201&lt;Project_Register!$I$18,0,IF(Assumptions!N$201&gt;=Project_Register!$J$18,MAX(0,Project_Register!$V$18-M59),MAX(0,Project_Register!$V$18-M59)/(Project_Register!$J$18-Assumptions!N$201+1))))</f>
        <v>0</v>
      </c>
      <c r="O33" s="67" t="n">
        <f aca="false">IF(O$5="A",Inputs_Actuals!O147,IF(Assumptions!O$201&lt;Project_Register!$I$18,0,IF(Assumptions!O$201&gt;=Project_Register!$J$18,MAX(0,Project_Register!$V$18-N59),MAX(0,Project_Register!$V$18-N59)/(Project_Register!$J$18-Assumptions!O$201+1))))</f>
        <v>0</v>
      </c>
      <c r="P33" s="67" t="n">
        <f aca="false">IF(P$5="A",Inputs_Actuals!P147,IF(Assumptions!P$201&lt;Project_Register!$I$18,0,IF(Assumptions!P$201&gt;=Project_Register!$J$18,MAX(0,Project_Register!$V$18-O59),MAX(0,Project_Register!$V$18-O59)/(Project_Register!$J$18-Assumptions!P$201+1))))</f>
        <v>0</v>
      </c>
      <c r="Q33" s="67" t="n">
        <f aca="false">IF(Q$5="A",Inputs_Actuals!Q147,IF(Assumptions!Q$201&lt;Project_Register!$I$18,0,IF(Assumptions!Q$201&gt;=Project_Register!$J$18,MAX(0,Project_Register!$V$18-P59),MAX(0,Project_Register!$V$18-P59)/(Project_Register!$J$18-Assumptions!Q$201+1))))</f>
        <v>0</v>
      </c>
      <c r="R33" s="67" t="n">
        <f aca="false">IF(R$5="A",Inputs_Actuals!R147,IF(Assumptions!R$201&lt;Project_Register!$I$18,0,IF(Assumptions!R$201&gt;=Project_Register!$J$18,MAX(0,Project_Register!$V$18-Q59),MAX(0,Project_Register!$V$18-Q59)/(Project_Register!$J$18-Assumptions!R$201+1))))</f>
        <v>0</v>
      </c>
      <c r="S33" s="67" t="n">
        <f aca="false">IF(S$5="A",Inputs_Actuals!S147,IF(Assumptions!S$201&lt;Project_Register!$I$18,0,IF(Assumptions!S$201&gt;=Project_Register!$J$18,MAX(0,Project_Register!$V$18-R59),MAX(0,Project_Register!$V$18-R59)/(Project_Register!$J$18-Assumptions!S$201+1))))</f>
        <v>0</v>
      </c>
      <c r="T33" s="67" t="n">
        <f aca="false">IF(T$5="A",Inputs_Actuals!T147,IF(Assumptions!T$201&lt;Project_Register!$I$18,0,IF(Assumptions!T$201&gt;=Project_Register!$J$18,MAX(0,Project_Register!$V$18-S59),MAX(0,Project_Register!$V$18-S59)/(Project_Register!$J$18-Assumptions!T$201+1))))</f>
        <v>0</v>
      </c>
      <c r="U33" s="67" t="n">
        <f aca="false">IF(U$5="A",Inputs_Actuals!U147,IF(Assumptions!U$201&lt;Project_Register!$I$18,0,IF(Assumptions!U$201&gt;=Project_Register!$J$18,MAX(0,Project_Register!$V$18-T59),MAX(0,Project_Register!$V$18-T59)/(Project_Register!$J$18-Assumptions!U$201+1))))</f>
        <v>0</v>
      </c>
      <c r="V33" s="67" t="n">
        <f aca="false">IF(V$5="A",Inputs_Actuals!V147,IF(Assumptions!V$201&lt;Project_Register!$I$18,0,IF(Assumptions!V$201&gt;=Project_Register!$J$18,MAX(0,Project_Register!$V$18-U59),MAX(0,Project_Register!$V$18-U59)/(Project_Register!$J$18-Assumptions!V$201+1))))</f>
        <v>0</v>
      </c>
      <c r="W33" s="67" t="n">
        <f aca="false">IF(W$5="A",Inputs_Actuals!W147,IF(Assumptions!W$201&lt;Project_Register!$I$18,0,IF(Assumptions!W$201&gt;=Project_Register!$J$18,MAX(0,Project_Register!$V$18-V59),MAX(0,Project_Register!$V$18-V59)/(Project_Register!$J$18-Assumptions!W$201+1))))</f>
        <v>0</v>
      </c>
      <c r="X33" s="67" t="n">
        <f aca="false">IF(X$5="A",Inputs_Actuals!X147,IF(Assumptions!X$201&lt;Project_Register!$I$18,0,IF(Assumptions!X$201&gt;=Project_Register!$J$18,MAX(0,Project_Register!$V$18-W59),MAX(0,Project_Register!$V$18-W59)/(Project_Register!$J$18-Assumptions!X$201+1))))</f>
        <v>0</v>
      </c>
      <c r="Y33" s="67" t="n">
        <f aca="false">IF(Y$5="A",Inputs_Actuals!Y147,IF(Assumptions!Y$201&lt;Project_Register!$I$18,0,IF(Assumptions!Y$201&gt;=Project_Register!$J$18,MAX(0,Project_Register!$V$18-X59),MAX(0,Project_Register!$V$18-X59)/(Project_Register!$J$18-Assumptions!Y$201+1))))</f>
        <v>0</v>
      </c>
      <c r="Z33" s="67" t="n">
        <f aca="false">IF(Z$5="A",Inputs_Actuals!Z147,IF(Assumptions!Z$201&lt;Project_Register!$I$18,0,IF(Assumptions!Z$201&gt;=Project_Register!$J$18,MAX(0,Project_Register!$V$18-Y59),MAX(0,Project_Register!$V$18-Y59)/(Project_Register!$J$18-Assumptions!Z$201+1))))</f>
        <v>0</v>
      </c>
      <c r="AA33" s="67" t="n">
        <f aca="false">IF(AA$5="A",Inputs_Actuals!AA147,IF(Assumptions!AA$201&lt;Project_Register!$I$18,0,IF(Assumptions!AA$201&gt;=Project_Register!$J$18,MAX(0,Project_Register!$V$18-Z59),MAX(0,Project_Register!$V$18-Z59)/(Project_Register!$J$18-Assumptions!AA$201+1))))</f>
        <v>0</v>
      </c>
      <c r="AB33" s="67" t="n">
        <f aca="false">IF(AB$5="A",Inputs_Actuals!AB147,IF(Assumptions!AB$201&lt;Project_Register!$I$18,0,IF(Assumptions!AB$201&gt;=Project_Register!$J$18,MAX(0,Project_Register!$V$18-AA59),MAX(0,Project_Register!$V$18-AA59)/(Project_Register!$J$18-Assumptions!AB$201+1))))</f>
        <v>0</v>
      </c>
    </row>
    <row r="34" customFormat="false" ht="15" hidden="false" customHeight="false" outlineLevel="0" collapsed="false">
      <c r="A34" s="21" t="s">
        <v>952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row>
    <row r="35" customFormat="false" ht="15" hidden="false" customHeight="false" outlineLevel="0" collapsed="false">
      <c r="A35" s="27" t="s">
        <v>940</v>
      </c>
      <c r="B35" s="63"/>
      <c r="C35" s="66" t="n">
        <f aca="false">P35</f>
        <v>2150</v>
      </c>
      <c r="D35" s="66" t="n">
        <f aca="false">AB35</f>
        <v>2150</v>
      </c>
      <c r="E35" s="67" t="n">
        <f aca="false">Project_Register!$M$7+E9</f>
        <v>335</v>
      </c>
      <c r="F35" s="76" t="n">
        <f aca="false">E35+F9</f>
        <v>510</v>
      </c>
      <c r="G35" s="76" t="n">
        <f aca="false">F35+G9</f>
        <v>680</v>
      </c>
      <c r="H35" s="76" t="n">
        <f aca="false">G35+H9</f>
        <v>840</v>
      </c>
      <c r="I35" s="76" t="n">
        <f aca="false">H35+I9</f>
        <v>1000</v>
      </c>
      <c r="J35" s="76" t="n">
        <f aca="false">I35+J9</f>
        <v>1165</v>
      </c>
      <c r="K35" s="76" t="n">
        <f aca="false">J35+K9</f>
        <v>1315</v>
      </c>
      <c r="L35" s="76" t="n">
        <f aca="false">K35+L9</f>
        <v>1415</v>
      </c>
      <c r="M35" s="76" t="n">
        <f aca="false">L35+M9</f>
        <v>1660</v>
      </c>
      <c r="N35" s="76" t="n">
        <f aca="false">M35+N9</f>
        <v>1905</v>
      </c>
      <c r="O35" s="76" t="n">
        <f aca="false">N35+O9</f>
        <v>2150</v>
      </c>
      <c r="P35" s="76" t="n">
        <f aca="false">O35+P9</f>
        <v>2150</v>
      </c>
      <c r="Q35" s="76" t="n">
        <f aca="false">P35+Q9</f>
        <v>2150</v>
      </c>
      <c r="R35" s="76" t="n">
        <f aca="false">Q35+R9</f>
        <v>2150</v>
      </c>
      <c r="S35" s="76" t="n">
        <f aca="false">R35+S9</f>
        <v>2150</v>
      </c>
      <c r="T35" s="76" t="n">
        <f aca="false">S35+T9</f>
        <v>2150</v>
      </c>
      <c r="U35" s="76" t="n">
        <f aca="false">T35+U9</f>
        <v>2150</v>
      </c>
      <c r="V35" s="76" t="n">
        <f aca="false">U35+V9</f>
        <v>2150</v>
      </c>
      <c r="W35" s="76" t="n">
        <f aca="false">V35+W9</f>
        <v>2150</v>
      </c>
      <c r="X35" s="76" t="n">
        <f aca="false">W35+X9</f>
        <v>2150</v>
      </c>
      <c r="Y35" s="76" t="n">
        <f aca="false">X35+Y9</f>
        <v>2150</v>
      </c>
      <c r="Z35" s="76" t="n">
        <f aca="false">Y35+Z9</f>
        <v>2150</v>
      </c>
      <c r="AA35" s="76" t="n">
        <f aca="false">Z35+AA9</f>
        <v>2150</v>
      </c>
      <c r="AB35" s="76" t="n">
        <f aca="false">AA35+AB9</f>
        <v>2150</v>
      </c>
    </row>
    <row r="36" customFormat="false" ht="15" hidden="false" customHeight="false" outlineLevel="0" collapsed="false">
      <c r="A36" s="27" t="s">
        <v>941</v>
      </c>
      <c r="B36" s="63"/>
      <c r="C36" s="66" t="n">
        <f aca="false">P36</f>
        <v>780</v>
      </c>
      <c r="D36" s="66" t="n">
        <f aca="false">AB36</f>
        <v>780</v>
      </c>
      <c r="E36" s="67" t="n">
        <f aca="false">Project_Register!$M$8+E10</f>
        <v>170</v>
      </c>
      <c r="F36" s="76" t="n">
        <f aca="false">E36+F10</f>
        <v>400</v>
      </c>
      <c r="G36" s="76" t="n">
        <f aca="false">F36+G10</f>
        <v>620</v>
      </c>
      <c r="H36" s="76" t="n">
        <f aca="false">G36+H10</f>
        <v>780</v>
      </c>
      <c r="I36" s="76" t="n">
        <f aca="false">H36+I10</f>
        <v>780</v>
      </c>
      <c r="J36" s="76" t="n">
        <f aca="false">I36+J10</f>
        <v>780</v>
      </c>
      <c r="K36" s="76" t="n">
        <f aca="false">J36+K10</f>
        <v>780</v>
      </c>
      <c r="L36" s="76" t="n">
        <f aca="false">K36+L10</f>
        <v>780</v>
      </c>
      <c r="M36" s="76" t="n">
        <f aca="false">L36+M10</f>
        <v>780</v>
      </c>
      <c r="N36" s="76" t="n">
        <f aca="false">M36+N10</f>
        <v>780</v>
      </c>
      <c r="O36" s="76" t="n">
        <f aca="false">N36+O10</f>
        <v>780</v>
      </c>
      <c r="P36" s="76" t="n">
        <f aca="false">O36+P10</f>
        <v>780</v>
      </c>
      <c r="Q36" s="76" t="n">
        <f aca="false">P36+Q10</f>
        <v>780</v>
      </c>
      <c r="R36" s="76" t="n">
        <f aca="false">Q36+R10</f>
        <v>780</v>
      </c>
      <c r="S36" s="76" t="n">
        <f aca="false">R36+S10</f>
        <v>780</v>
      </c>
      <c r="T36" s="76" t="n">
        <f aca="false">S36+T10</f>
        <v>780</v>
      </c>
      <c r="U36" s="76" t="n">
        <f aca="false">T36+U10</f>
        <v>780</v>
      </c>
      <c r="V36" s="76" t="n">
        <f aca="false">U36+V10</f>
        <v>780</v>
      </c>
      <c r="W36" s="76" t="n">
        <f aca="false">V36+W10</f>
        <v>780</v>
      </c>
      <c r="X36" s="76" t="n">
        <f aca="false">W36+X10</f>
        <v>780</v>
      </c>
      <c r="Y36" s="76" t="n">
        <f aca="false">X36+Y10</f>
        <v>780</v>
      </c>
      <c r="Z36" s="76" t="n">
        <f aca="false">Y36+Z10</f>
        <v>780</v>
      </c>
      <c r="AA36" s="76" t="n">
        <f aca="false">Z36+AA10</f>
        <v>780</v>
      </c>
      <c r="AB36" s="76" t="n">
        <f aca="false">AA36+AB10</f>
        <v>780</v>
      </c>
    </row>
    <row r="37" customFormat="false" ht="15" hidden="false" customHeight="false" outlineLevel="0" collapsed="false">
      <c r="A37" s="27" t="s">
        <v>942</v>
      </c>
      <c r="B37" s="63"/>
      <c r="C37" s="66" t="n">
        <f aca="false">P37</f>
        <v>640</v>
      </c>
      <c r="D37" s="66" t="n">
        <f aca="false">AB37</f>
        <v>640</v>
      </c>
      <c r="E37" s="67" t="n">
        <f aca="false">Project_Register!$M$9+E11</f>
        <v>0</v>
      </c>
      <c r="F37" s="76" t="n">
        <f aca="false">E37+F11</f>
        <v>0</v>
      </c>
      <c r="G37" s="76" t="n">
        <f aca="false">F37+G11</f>
        <v>110</v>
      </c>
      <c r="H37" s="76" t="n">
        <f aca="false">G37+H11</f>
        <v>260</v>
      </c>
      <c r="I37" s="76" t="n">
        <f aca="false">H37+I11</f>
        <v>410</v>
      </c>
      <c r="J37" s="76" t="n">
        <f aca="false">I37+J11</f>
        <v>550</v>
      </c>
      <c r="K37" s="76" t="n">
        <f aca="false">J37+K11</f>
        <v>640</v>
      </c>
      <c r="L37" s="76" t="n">
        <f aca="false">K37+L11</f>
        <v>640</v>
      </c>
      <c r="M37" s="76" t="n">
        <f aca="false">L37+M11</f>
        <v>640</v>
      </c>
      <c r="N37" s="76" t="n">
        <f aca="false">M37+N11</f>
        <v>640</v>
      </c>
      <c r="O37" s="76" t="n">
        <f aca="false">N37+O11</f>
        <v>640</v>
      </c>
      <c r="P37" s="76" t="n">
        <f aca="false">O37+P11</f>
        <v>640</v>
      </c>
      <c r="Q37" s="76" t="n">
        <f aca="false">P37+Q11</f>
        <v>640</v>
      </c>
      <c r="R37" s="76" t="n">
        <f aca="false">Q37+R11</f>
        <v>640</v>
      </c>
      <c r="S37" s="76" t="n">
        <f aca="false">R37+S11</f>
        <v>640</v>
      </c>
      <c r="T37" s="76" t="n">
        <f aca="false">S37+T11</f>
        <v>640</v>
      </c>
      <c r="U37" s="76" t="n">
        <f aca="false">T37+U11</f>
        <v>640</v>
      </c>
      <c r="V37" s="76" t="n">
        <f aca="false">U37+V11</f>
        <v>640</v>
      </c>
      <c r="W37" s="76" t="n">
        <f aca="false">V37+W11</f>
        <v>640</v>
      </c>
      <c r="X37" s="76" t="n">
        <f aca="false">W37+X11</f>
        <v>640</v>
      </c>
      <c r="Y37" s="76" t="n">
        <f aca="false">X37+Y11</f>
        <v>640</v>
      </c>
      <c r="Z37" s="76" t="n">
        <f aca="false">Y37+Z11</f>
        <v>640</v>
      </c>
      <c r="AA37" s="76" t="n">
        <f aca="false">Z37+AA11</f>
        <v>640</v>
      </c>
      <c r="AB37" s="76" t="n">
        <f aca="false">AA37+AB11</f>
        <v>640</v>
      </c>
    </row>
    <row r="38" customFormat="false" ht="15" hidden="false" customHeight="false" outlineLevel="0" collapsed="false">
      <c r="A38" s="27" t="s">
        <v>943</v>
      </c>
      <c r="B38" s="63"/>
      <c r="C38" s="66" t="n">
        <f aca="false">P38</f>
        <v>880</v>
      </c>
      <c r="D38" s="66" t="n">
        <f aca="false">AB38</f>
        <v>880</v>
      </c>
      <c r="E38" s="67" t="n">
        <f aca="false">Project_Register!$M$10+E12</f>
        <v>0</v>
      </c>
      <c r="F38" s="76" t="n">
        <f aca="false">E38+F12</f>
        <v>95</v>
      </c>
      <c r="G38" s="76" t="n">
        <f aca="false">F38+G12</f>
        <v>213</v>
      </c>
      <c r="H38" s="76" t="n">
        <f aca="false">G38+H12</f>
        <v>325</v>
      </c>
      <c r="I38" s="76" t="n">
        <f aca="false">H38+I12</f>
        <v>435</v>
      </c>
      <c r="J38" s="76" t="n">
        <f aca="false">I38+J12</f>
        <v>551</v>
      </c>
      <c r="K38" s="76" t="n">
        <f aca="false">J38+K12</f>
        <v>655</v>
      </c>
      <c r="L38" s="76" t="n">
        <f aca="false">K38+L12</f>
        <v>727</v>
      </c>
      <c r="M38" s="76" t="n">
        <f aca="false">L38+M12</f>
        <v>880</v>
      </c>
      <c r="N38" s="76" t="n">
        <f aca="false">M38+N12</f>
        <v>880</v>
      </c>
      <c r="O38" s="76" t="n">
        <f aca="false">N38+O12</f>
        <v>880</v>
      </c>
      <c r="P38" s="76" t="n">
        <f aca="false">O38+P12</f>
        <v>880</v>
      </c>
      <c r="Q38" s="76" t="n">
        <f aca="false">P38+Q12</f>
        <v>880</v>
      </c>
      <c r="R38" s="76" t="n">
        <f aca="false">Q38+R12</f>
        <v>880</v>
      </c>
      <c r="S38" s="76" t="n">
        <f aca="false">R38+S12</f>
        <v>880</v>
      </c>
      <c r="T38" s="76" t="n">
        <f aca="false">S38+T12</f>
        <v>880</v>
      </c>
      <c r="U38" s="76" t="n">
        <f aca="false">T38+U12</f>
        <v>880</v>
      </c>
      <c r="V38" s="76" t="n">
        <f aca="false">U38+V12</f>
        <v>880</v>
      </c>
      <c r="W38" s="76" t="n">
        <f aca="false">V38+W12</f>
        <v>880</v>
      </c>
      <c r="X38" s="76" t="n">
        <f aca="false">W38+X12</f>
        <v>880</v>
      </c>
      <c r="Y38" s="76" t="n">
        <f aca="false">X38+Y12</f>
        <v>880</v>
      </c>
      <c r="Z38" s="76" t="n">
        <f aca="false">Y38+Z12</f>
        <v>880</v>
      </c>
      <c r="AA38" s="76" t="n">
        <f aca="false">Z38+AA12</f>
        <v>880</v>
      </c>
      <c r="AB38" s="76" t="n">
        <f aca="false">AA38+AB12</f>
        <v>880</v>
      </c>
    </row>
    <row r="39" customFormat="false" ht="15" hidden="false" customHeight="false" outlineLevel="0" collapsed="false">
      <c r="A39" s="27" t="s">
        <v>944</v>
      </c>
      <c r="B39" s="63"/>
      <c r="C39" s="66" t="n">
        <f aca="false">P39</f>
        <v>1680</v>
      </c>
      <c r="D39" s="66" t="n">
        <f aca="false">AB39</f>
        <v>1680</v>
      </c>
      <c r="E39" s="67" t="n">
        <f aca="false">Project_Register!$M$11+E13</f>
        <v>132</v>
      </c>
      <c r="F39" s="76" t="n">
        <f aca="false">E39+F13</f>
        <v>272</v>
      </c>
      <c r="G39" s="76" t="n">
        <f aca="false">F39+G13</f>
        <v>418</v>
      </c>
      <c r="H39" s="76" t="n">
        <f aca="false">G39+H13</f>
        <v>556</v>
      </c>
      <c r="I39" s="76" t="n">
        <f aca="false">H39+I13</f>
        <v>698</v>
      </c>
      <c r="J39" s="76" t="n">
        <f aca="false">I39+J13</f>
        <v>842</v>
      </c>
      <c r="K39" s="76" t="n">
        <f aca="false">J39+K13</f>
        <v>978</v>
      </c>
      <c r="L39" s="76" t="n">
        <f aca="false">K39+L13</f>
        <v>1074</v>
      </c>
      <c r="M39" s="76" t="n">
        <f aca="false">L39+M13</f>
        <v>1225.5</v>
      </c>
      <c r="N39" s="76" t="n">
        <f aca="false">M39+N13</f>
        <v>1377</v>
      </c>
      <c r="O39" s="76" t="n">
        <f aca="false">N39+O13</f>
        <v>1528.5</v>
      </c>
      <c r="P39" s="76" t="n">
        <f aca="false">O39+P13</f>
        <v>1680</v>
      </c>
      <c r="Q39" s="76" t="n">
        <f aca="false">P39+Q13</f>
        <v>1680</v>
      </c>
      <c r="R39" s="76" t="n">
        <f aca="false">Q39+R13</f>
        <v>1680</v>
      </c>
      <c r="S39" s="76" t="n">
        <f aca="false">R39+S13</f>
        <v>1680</v>
      </c>
      <c r="T39" s="76" t="n">
        <f aca="false">S39+T13</f>
        <v>1680</v>
      </c>
      <c r="U39" s="76" t="n">
        <f aca="false">T39+U13</f>
        <v>1680</v>
      </c>
      <c r="V39" s="76" t="n">
        <f aca="false">U39+V13</f>
        <v>1680</v>
      </c>
      <c r="W39" s="76" t="n">
        <f aca="false">V39+W13</f>
        <v>1680</v>
      </c>
      <c r="X39" s="76" t="n">
        <f aca="false">W39+X13</f>
        <v>1680</v>
      </c>
      <c r="Y39" s="76" t="n">
        <f aca="false">X39+Y13</f>
        <v>1680</v>
      </c>
      <c r="Z39" s="76" t="n">
        <f aca="false">Y39+Z13</f>
        <v>1680</v>
      </c>
      <c r="AA39" s="76" t="n">
        <f aca="false">Z39+AA13</f>
        <v>1680</v>
      </c>
      <c r="AB39" s="76" t="n">
        <f aca="false">AA39+AB13</f>
        <v>1680</v>
      </c>
    </row>
    <row r="40" customFormat="false" ht="15" hidden="false" customHeight="false" outlineLevel="0" collapsed="false">
      <c r="A40" s="27" t="s">
        <v>945</v>
      </c>
      <c r="B40" s="63"/>
      <c r="C40" s="66" t="n">
        <f aca="false">P40</f>
        <v>410</v>
      </c>
      <c r="D40" s="66" t="n">
        <f aca="false">AB40</f>
        <v>410</v>
      </c>
      <c r="E40" s="67" t="n">
        <f aca="false">Project_Register!$M$12+E14</f>
        <v>0</v>
      </c>
      <c r="F40" s="76" t="n">
        <f aca="false">E40+F14</f>
        <v>0</v>
      </c>
      <c r="G40" s="76" t="n">
        <f aca="false">F40+G14</f>
        <v>120</v>
      </c>
      <c r="H40" s="76" t="n">
        <f aca="false">G40+H14</f>
        <v>280</v>
      </c>
      <c r="I40" s="76" t="n">
        <f aca="false">H40+I14</f>
        <v>410</v>
      </c>
      <c r="J40" s="76" t="n">
        <f aca="false">I40+J14</f>
        <v>410</v>
      </c>
      <c r="K40" s="76" t="n">
        <f aca="false">J40+K14</f>
        <v>410</v>
      </c>
      <c r="L40" s="76" t="n">
        <f aca="false">K40+L14</f>
        <v>410</v>
      </c>
      <c r="M40" s="76" t="n">
        <f aca="false">L40+M14</f>
        <v>410</v>
      </c>
      <c r="N40" s="76" t="n">
        <f aca="false">M40+N14</f>
        <v>410</v>
      </c>
      <c r="O40" s="76" t="n">
        <f aca="false">N40+O14</f>
        <v>410</v>
      </c>
      <c r="P40" s="76" t="n">
        <f aca="false">O40+P14</f>
        <v>410</v>
      </c>
      <c r="Q40" s="76" t="n">
        <f aca="false">P40+Q14</f>
        <v>410</v>
      </c>
      <c r="R40" s="76" t="n">
        <f aca="false">Q40+R14</f>
        <v>410</v>
      </c>
      <c r="S40" s="76" t="n">
        <f aca="false">R40+S14</f>
        <v>410</v>
      </c>
      <c r="T40" s="76" t="n">
        <f aca="false">S40+T14</f>
        <v>410</v>
      </c>
      <c r="U40" s="76" t="n">
        <f aca="false">T40+U14</f>
        <v>410</v>
      </c>
      <c r="V40" s="76" t="n">
        <f aca="false">U40+V14</f>
        <v>410</v>
      </c>
      <c r="W40" s="76" t="n">
        <f aca="false">V40+W14</f>
        <v>410</v>
      </c>
      <c r="X40" s="76" t="n">
        <f aca="false">W40+X14</f>
        <v>410</v>
      </c>
      <c r="Y40" s="76" t="n">
        <f aca="false">X40+Y14</f>
        <v>410</v>
      </c>
      <c r="Z40" s="76" t="n">
        <f aca="false">Y40+Z14</f>
        <v>410</v>
      </c>
      <c r="AA40" s="76" t="n">
        <f aca="false">Z40+AA14</f>
        <v>410</v>
      </c>
      <c r="AB40" s="76" t="n">
        <f aca="false">AA40+AB14</f>
        <v>410</v>
      </c>
    </row>
    <row r="41" customFormat="false" ht="15" hidden="false" customHeight="false" outlineLevel="0" collapsed="false">
      <c r="A41" s="27" t="s">
        <v>946</v>
      </c>
      <c r="B41" s="63"/>
      <c r="C41" s="66" t="n">
        <f aca="false">P41</f>
        <v>470</v>
      </c>
      <c r="D41" s="66" t="n">
        <f aca="false">AB41</f>
        <v>470</v>
      </c>
      <c r="E41" s="67" t="n">
        <f aca="false">Project_Register!$M$13+E15</f>
        <v>0</v>
      </c>
      <c r="F41" s="76" t="n">
        <f aca="false">E41+F15</f>
        <v>0</v>
      </c>
      <c r="G41" s="76" t="n">
        <f aca="false">F41+G15</f>
        <v>0</v>
      </c>
      <c r="H41" s="76" t="n">
        <f aca="false">G41+H15</f>
        <v>0</v>
      </c>
      <c r="I41" s="76" t="n">
        <f aca="false">H41+I15</f>
        <v>0</v>
      </c>
      <c r="J41" s="76" t="n">
        <f aca="false">I41+J15</f>
        <v>95</v>
      </c>
      <c r="K41" s="76" t="n">
        <f aca="false">J41+K15</f>
        <v>225</v>
      </c>
      <c r="L41" s="76" t="n">
        <f aca="false">K41+L15</f>
        <v>310</v>
      </c>
      <c r="M41" s="76" t="n">
        <f aca="false">L41+M15</f>
        <v>470</v>
      </c>
      <c r="N41" s="76" t="n">
        <f aca="false">M41+N15</f>
        <v>470</v>
      </c>
      <c r="O41" s="76" t="n">
        <f aca="false">N41+O15</f>
        <v>470</v>
      </c>
      <c r="P41" s="76" t="n">
        <f aca="false">O41+P15</f>
        <v>470</v>
      </c>
      <c r="Q41" s="76" t="n">
        <f aca="false">P41+Q15</f>
        <v>470</v>
      </c>
      <c r="R41" s="76" t="n">
        <f aca="false">Q41+R15</f>
        <v>470</v>
      </c>
      <c r="S41" s="76" t="n">
        <f aca="false">R41+S15</f>
        <v>470</v>
      </c>
      <c r="T41" s="76" t="n">
        <f aca="false">S41+T15</f>
        <v>470</v>
      </c>
      <c r="U41" s="76" t="n">
        <f aca="false">T41+U15</f>
        <v>470</v>
      </c>
      <c r="V41" s="76" t="n">
        <f aca="false">U41+V15</f>
        <v>470</v>
      </c>
      <c r="W41" s="76" t="n">
        <f aca="false">V41+W15</f>
        <v>470</v>
      </c>
      <c r="X41" s="76" t="n">
        <f aca="false">W41+X15</f>
        <v>470</v>
      </c>
      <c r="Y41" s="76" t="n">
        <f aca="false">X41+Y15</f>
        <v>470</v>
      </c>
      <c r="Z41" s="76" t="n">
        <f aca="false">Y41+Z15</f>
        <v>470</v>
      </c>
      <c r="AA41" s="76" t="n">
        <f aca="false">Z41+AA15</f>
        <v>470</v>
      </c>
      <c r="AB41" s="76" t="n">
        <f aca="false">AA41+AB15</f>
        <v>470</v>
      </c>
    </row>
    <row r="42" customFormat="false" ht="15" hidden="false" customHeight="false" outlineLevel="0" collapsed="false">
      <c r="A42" s="27" t="s">
        <v>947</v>
      </c>
      <c r="B42" s="63"/>
      <c r="C42" s="66" t="n">
        <f aca="false">P42</f>
        <v>880</v>
      </c>
      <c r="D42" s="66" t="n">
        <f aca="false">AB42</f>
        <v>1100</v>
      </c>
      <c r="E42" s="67" t="n">
        <f aca="false">Project_Register!$M$14+E16</f>
        <v>0</v>
      </c>
      <c r="F42" s="76" t="n">
        <f aca="false">E42+F16</f>
        <v>0</v>
      </c>
      <c r="G42" s="76" t="n">
        <f aca="false">F42+G16</f>
        <v>0</v>
      </c>
      <c r="H42" s="76" t="n">
        <f aca="false">G42+H16</f>
        <v>0</v>
      </c>
      <c r="I42" s="76" t="n">
        <f aca="false">H42+I16</f>
        <v>0</v>
      </c>
      <c r="J42" s="76" t="n">
        <f aca="false">I42+J16</f>
        <v>0</v>
      </c>
      <c r="K42" s="76" t="n">
        <f aca="false">J42+K16</f>
        <v>0</v>
      </c>
      <c r="L42" s="76" t="n">
        <f aca="false">K42+L16</f>
        <v>0</v>
      </c>
      <c r="M42" s="76" t="n">
        <f aca="false">L42+M16</f>
        <v>220</v>
      </c>
      <c r="N42" s="76" t="n">
        <f aca="false">M42+N16</f>
        <v>440</v>
      </c>
      <c r="O42" s="76" t="n">
        <f aca="false">N42+O16</f>
        <v>660</v>
      </c>
      <c r="P42" s="76" t="n">
        <f aca="false">O42+P16</f>
        <v>880</v>
      </c>
      <c r="Q42" s="76" t="n">
        <f aca="false">P42+Q16</f>
        <v>1100</v>
      </c>
      <c r="R42" s="76" t="n">
        <f aca="false">Q42+R16</f>
        <v>1100</v>
      </c>
      <c r="S42" s="76" t="n">
        <f aca="false">R42+S16</f>
        <v>1100</v>
      </c>
      <c r="T42" s="76" t="n">
        <f aca="false">S42+T16</f>
        <v>1100</v>
      </c>
      <c r="U42" s="76" t="n">
        <f aca="false">T42+U16</f>
        <v>1100</v>
      </c>
      <c r="V42" s="76" t="n">
        <f aca="false">U42+V16</f>
        <v>1100</v>
      </c>
      <c r="W42" s="76" t="n">
        <f aca="false">V42+W16</f>
        <v>1100</v>
      </c>
      <c r="X42" s="76" t="n">
        <f aca="false">W42+X16</f>
        <v>1100</v>
      </c>
      <c r="Y42" s="76" t="n">
        <f aca="false">X42+Y16</f>
        <v>1100</v>
      </c>
      <c r="Z42" s="76" t="n">
        <f aca="false">Y42+Z16</f>
        <v>1100</v>
      </c>
      <c r="AA42" s="76" t="n">
        <f aca="false">Z42+AA16</f>
        <v>1100</v>
      </c>
      <c r="AB42" s="76" t="n">
        <f aca="false">AA42+AB16</f>
        <v>1100</v>
      </c>
    </row>
    <row r="43" customFormat="false" ht="15" hidden="false" customHeight="false" outlineLevel="0" collapsed="false">
      <c r="A43" s="27" t="s">
        <v>948</v>
      </c>
      <c r="B43" s="63"/>
      <c r="C43" s="66" t="n">
        <f aca="false">P43</f>
        <v>960</v>
      </c>
      <c r="D43" s="66" t="n">
        <f aca="false">AB43</f>
        <v>960</v>
      </c>
      <c r="E43" s="67" t="n">
        <f aca="false">Project_Register!$M$15+E17</f>
        <v>78</v>
      </c>
      <c r="F43" s="76" t="n">
        <f aca="false">E43+F17</f>
        <v>160</v>
      </c>
      <c r="G43" s="76" t="n">
        <f aca="false">F43+G17</f>
        <v>240</v>
      </c>
      <c r="H43" s="76" t="n">
        <f aca="false">G43+H17</f>
        <v>319</v>
      </c>
      <c r="I43" s="76" t="n">
        <f aca="false">H43+I17</f>
        <v>400</v>
      </c>
      <c r="J43" s="76" t="n">
        <f aca="false">I43+J17</f>
        <v>483</v>
      </c>
      <c r="K43" s="76" t="n">
        <f aca="false">J43+K17</f>
        <v>563</v>
      </c>
      <c r="L43" s="76" t="n">
        <f aca="false">K43+L17</f>
        <v>621</v>
      </c>
      <c r="M43" s="76" t="n">
        <f aca="false">L43+M17</f>
        <v>705.75</v>
      </c>
      <c r="N43" s="76" t="n">
        <f aca="false">M43+N17</f>
        <v>790.5</v>
      </c>
      <c r="O43" s="76" t="n">
        <f aca="false">N43+O17</f>
        <v>875.25</v>
      </c>
      <c r="P43" s="76" t="n">
        <f aca="false">O43+P17</f>
        <v>960</v>
      </c>
      <c r="Q43" s="76" t="n">
        <f aca="false">P43+Q17</f>
        <v>960</v>
      </c>
      <c r="R43" s="76" t="n">
        <f aca="false">Q43+R17</f>
        <v>960</v>
      </c>
      <c r="S43" s="76" t="n">
        <f aca="false">R43+S17</f>
        <v>960</v>
      </c>
      <c r="T43" s="76" t="n">
        <f aca="false">S43+T17</f>
        <v>960</v>
      </c>
      <c r="U43" s="76" t="n">
        <f aca="false">T43+U17</f>
        <v>960</v>
      </c>
      <c r="V43" s="76" t="n">
        <f aca="false">U43+V17</f>
        <v>960</v>
      </c>
      <c r="W43" s="76" t="n">
        <f aca="false">V43+W17</f>
        <v>960</v>
      </c>
      <c r="X43" s="76" t="n">
        <f aca="false">W43+X17</f>
        <v>960</v>
      </c>
      <c r="Y43" s="76" t="n">
        <f aca="false">X43+Y17</f>
        <v>960</v>
      </c>
      <c r="Z43" s="76" t="n">
        <f aca="false">Y43+Z17</f>
        <v>960</v>
      </c>
      <c r="AA43" s="76" t="n">
        <f aca="false">Z43+AA17</f>
        <v>960</v>
      </c>
      <c r="AB43" s="76" t="n">
        <f aca="false">AA43+AB17</f>
        <v>960</v>
      </c>
    </row>
    <row r="44" customFormat="false" ht="15" hidden="false" customHeight="false" outlineLevel="0" collapsed="false">
      <c r="A44" s="27" t="s">
        <v>949</v>
      </c>
      <c r="B44" s="63"/>
      <c r="C44" s="66" t="n">
        <f aca="false">P44</f>
        <v>450</v>
      </c>
      <c r="D44" s="66" t="n">
        <f aca="false">AB44</f>
        <v>450</v>
      </c>
      <c r="E44" s="67" t="n">
        <f aca="false">Project_Register!$M$16+E18</f>
        <v>0</v>
      </c>
      <c r="F44" s="76" t="n">
        <f aca="false">E44+F18</f>
        <v>0</v>
      </c>
      <c r="G44" s="76" t="n">
        <f aca="false">F44+G18</f>
        <v>0</v>
      </c>
      <c r="H44" s="76" t="n">
        <f aca="false">G44+H18</f>
        <v>0</v>
      </c>
      <c r="I44" s="76" t="n">
        <f aca="false">H44+I18</f>
        <v>0</v>
      </c>
      <c r="J44" s="76" t="n">
        <f aca="false">I44+J18</f>
        <v>0</v>
      </c>
      <c r="K44" s="76" t="n">
        <f aca="false">J44+K18</f>
        <v>130</v>
      </c>
      <c r="L44" s="76" t="n">
        <f aca="false">K44+L18</f>
        <v>225</v>
      </c>
      <c r="M44" s="76" t="n">
        <f aca="false">L44+M18</f>
        <v>450</v>
      </c>
      <c r="N44" s="76" t="n">
        <f aca="false">M44+N18</f>
        <v>450</v>
      </c>
      <c r="O44" s="76" t="n">
        <f aca="false">N44+O18</f>
        <v>450</v>
      </c>
      <c r="P44" s="76" t="n">
        <f aca="false">O44+P18</f>
        <v>450</v>
      </c>
      <c r="Q44" s="76" t="n">
        <f aca="false">P44+Q18</f>
        <v>450</v>
      </c>
      <c r="R44" s="76" t="n">
        <f aca="false">Q44+R18</f>
        <v>450</v>
      </c>
      <c r="S44" s="76" t="n">
        <f aca="false">R44+S18</f>
        <v>450</v>
      </c>
      <c r="T44" s="76" t="n">
        <f aca="false">S44+T18</f>
        <v>450</v>
      </c>
      <c r="U44" s="76" t="n">
        <f aca="false">T44+U18</f>
        <v>450</v>
      </c>
      <c r="V44" s="76" t="n">
        <f aca="false">U44+V18</f>
        <v>450</v>
      </c>
      <c r="W44" s="76" t="n">
        <f aca="false">V44+W18</f>
        <v>450</v>
      </c>
      <c r="X44" s="76" t="n">
        <f aca="false">W44+X18</f>
        <v>450</v>
      </c>
      <c r="Y44" s="76" t="n">
        <f aca="false">X44+Y18</f>
        <v>450</v>
      </c>
      <c r="Z44" s="76" t="n">
        <f aca="false">Y44+Z18</f>
        <v>450</v>
      </c>
      <c r="AA44" s="76" t="n">
        <f aca="false">Z44+AA18</f>
        <v>450</v>
      </c>
      <c r="AB44" s="76" t="n">
        <f aca="false">AA44+AB18</f>
        <v>450</v>
      </c>
    </row>
    <row r="45" customFormat="false" ht="15" hidden="false" customHeight="false" outlineLevel="0" collapsed="false">
      <c r="A45" s="27" t="s">
        <v>950</v>
      </c>
      <c r="B45" s="63"/>
      <c r="C45" s="66" t="n">
        <f aca="false">P45</f>
        <v>880</v>
      </c>
      <c r="D45" s="66" t="n">
        <f aca="false">AB45</f>
        <v>880</v>
      </c>
      <c r="E45" s="67" t="n">
        <f aca="false">Project_Register!$M$17+E19</f>
        <v>120</v>
      </c>
      <c r="F45" s="76" t="n">
        <f aca="false">E45+F19</f>
        <v>280</v>
      </c>
      <c r="G45" s="76" t="n">
        <f aca="false">F45+G19</f>
        <v>450</v>
      </c>
      <c r="H45" s="76" t="n">
        <f aca="false">G45+H19</f>
        <v>610</v>
      </c>
      <c r="I45" s="76" t="n">
        <f aca="false">H45+I19</f>
        <v>760</v>
      </c>
      <c r="J45" s="76" t="n">
        <f aca="false">I45+J19</f>
        <v>880</v>
      </c>
      <c r="K45" s="76" t="n">
        <f aca="false">J45+K19</f>
        <v>880</v>
      </c>
      <c r="L45" s="76" t="n">
        <f aca="false">K45+L19</f>
        <v>880</v>
      </c>
      <c r="M45" s="76" t="n">
        <f aca="false">L45+M19</f>
        <v>880</v>
      </c>
      <c r="N45" s="76" t="n">
        <f aca="false">M45+N19</f>
        <v>880</v>
      </c>
      <c r="O45" s="76" t="n">
        <f aca="false">N45+O19</f>
        <v>880</v>
      </c>
      <c r="P45" s="76" t="n">
        <f aca="false">O45+P19</f>
        <v>880</v>
      </c>
      <c r="Q45" s="76" t="n">
        <f aca="false">P45+Q19</f>
        <v>880</v>
      </c>
      <c r="R45" s="76" t="n">
        <f aca="false">Q45+R19</f>
        <v>880</v>
      </c>
      <c r="S45" s="76" t="n">
        <f aca="false">R45+S19</f>
        <v>880</v>
      </c>
      <c r="T45" s="76" t="n">
        <f aca="false">S45+T19</f>
        <v>880</v>
      </c>
      <c r="U45" s="76" t="n">
        <f aca="false">T45+U19</f>
        <v>880</v>
      </c>
      <c r="V45" s="76" t="n">
        <f aca="false">U45+V19</f>
        <v>880</v>
      </c>
      <c r="W45" s="76" t="n">
        <f aca="false">V45+W19</f>
        <v>880</v>
      </c>
      <c r="X45" s="76" t="n">
        <f aca="false">W45+X19</f>
        <v>880</v>
      </c>
      <c r="Y45" s="76" t="n">
        <f aca="false">X45+Y19</f>
        <v>880</v>
      </c>
      <c r="Z45" s="76" t="n">
        <f aca="false">Y45+Z19</f>
        <v>880</v>
      </c>
      <c r="AA45" s="76" t="n">
        <f aca="false">Z45+AA19</f>
        <v>880</v>
      </c>
      <c r="AB45" s="76" t="n">
        <f aca="false">AA45+AB19</f>
        <v>880</v>
      </c>
    </row>
    <row r="46" customFormat="false" ht="15" hidden="false" customHeight="false" outlineLevel="0" collapsed="false">
      <c r="A46" s="27" t="s">
        <v>951</v>
      </c>
      <c r="B46" s="63"/>
      <c r="C46" s="66" t="n">
        <f aca="false">P46</f>
        <v>305</v>
      </c>
      <c r="D46" s="66" t="n">
        <f aca="false">AB46</f>
        <v>305</v>
      </c>
      <c r="E46" s="67" t="n">
        <f aca="false">Project_Register!$M$18+E20</f>
        <v>0</v>
      </c>
      <c r="F46" s="76" t="n">
        <f aca="false">E46+F20</f>
        <v>0</v>
      </c>
      <c r="G46" s="76" t="n">
        <f aca="false">F46+G20</f>
        <v>0</v>
      </c>
      <c r="H46" s="76" t="n">
        <f aca="false">G46+H20</f>
        <v>0</v>
      </c>
      <c r="I46" s="76" t="n">
        <f aca="false">H46+I20</f>
        <v>90</v>
      </c>
      <c r="J46" s="76" t="n">
        <f aca="false">I46+J20</f>
        <v>210</v>
      </c>
      <c r="K46" s="76" t="n">
        <f aca="false">J46+K20</f>
        <v>305</v>
      </c>
      <c r="L46" s="76" t="n">
        <f aca="false">K46+L20</f>
        <v>305</v>
      </c>
      <c r="M46" s="76" t="n">
        <f aca="false">L46+M20</f>
        <v>305</v>
      </c>
      <c r="N46" s="76" t="n">
        <f aca="false">M46+N20</f>
        <v>305</v>
      </c>
      <c r="O46" s="76" t="n">
        <f aca="false">N46+O20</f>
        <v>305</v>
      </c>
      <c r="P46" s="76" t="n">
        <f aca="false">O46+P20</f>
        <v>305</v>
      </c>
      <c r="Q46" s="76" t="n">
        <f aca="false">P46+Q20</f>
        <v>305</v>
      </c>
      <c r="R46" s="76" t="n">
        <f aca="false">Q46+R20</f>
        <v>305</v>
      </c>
      <c r="S46" s="76" t="n">
        <f aca="false">R46+S20</f>
        <v>305</v>
      </c>
      <c r="T46" s="76" t="n">
        <f aca="false">S46+T20</f>
        <v>305</v>
      </c>
      <c r="U46" s="76" t="n">
        <f aca="false">T46+U20</f>
        <v>305</v>
      </c>
      <c r="V46" s="76" t="n">
        <f aca="false">U46+V20</f>
        <v>305</v>
      </c>
      <c r="W46" s="76" t="n">
        <f aca="false">V46+W20</f>
        <v>305</v>
      </c>
      <c r="X46" s="76" t="n">
        <f aca="false">W46+X20</f>
        <v>305</v>
      </c>
      <c r="Y46" s="76" t="n">
        <f aca="false">X46+Y20</f>
        <v>305</v>
      </c>
      <c r="Z46" s="76" t="n">
        <f aca="false">Y46+Z20</f>
        <v>305</v>
      </c>
      <c r="AA46" s="76" t="n">
        <f aca="false">Z46+AA20</f>
        <v>305</v>
      </c>
      <c r="AB46" s="76" t="n">
        <f aca="false">AA46+AB20</f>
        <v>305</v>
      </c>
    </row>
    <row r="47" customFormat="false" ht="15" hidden="false" customHeight="false" outlineLevel="0" collapsed="false">
      <c r="A47" s="21" t="s">
        <v>953</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row>
    <row r="48" customFormat="false" ht="15" hidden="false" customHeight="false" outlineLevel="0" collapsed="false">
      <c r="A48" s="27" t="s">
        <v>940</v>
      </c>
      <c r="B48" s="63"/>
      <c r="C48" s="66" t="n">
        <f aca="false">P48</f>
        <v>1350</v>
      </c>
      <c r="D48" s="66" t="n">
        <f aca="false">AB48</f>
        <v>1350</v>
      </c>
      <c r="E48" s="67" t="n">
        <f aca="false">Project_Register!$N$7+E22</f>
        <v>20</v>
      </c>
      <c r="F48" s="76" t="n">
        <f aca="false">E48+F22</f>
        <v>60</v>
      </c>
      <c r="G48" s="76" t="n">
        <f aca="false">F48+G22</f>
        <v>140</v>
      </c>
      <c r="H48" s="76" t="n">
        <f aca="false">G48+H22</f>
        <v>290</v>
      </c>
      <c r="I48" s="76" t="n">
        <f aca="false">H48+I22</f>
        <v>470</v>
      </c>
      <c r="J48" s="76" t="n">
        <f aca="false">I48+J22</f>
        <v>670</v>
      </c>
      <c r="K48" s="76" t="n">
        <f aca="false">J48+K22</f>
        <v>860</v>
      </c>
      <c r="L48" s="76" t="n">
        <f aca="false">K48+L22</f>
        <v>980</v>
      </c>
      <c r="M48" s="76" t="n">
        <f aca="false">L48+M22</f>
        <v>1103.33333333333</v>
      </c>
      <c r="N48" s="76" t="n">
        <f aca="false">M48+N22</f>
        <v>1226.66666666667</v>
      </c>
      <c r="O48" s="76" t="n">
        <f aca="false">N48+O22</f>
        <v>1350</v>
      </c>
      <c r="P48" s="76" t="n">
        <f aca="false">O48+P22</f>
        <v>1350</v>
      </c>
      <c r="Q48" s="76" t="n">
        <f aca="false">P48+Q22</f>
        <v>1350</v>
      </c>
      <c r="R48" s="76" t="n">
        <f aca="false">Q48+R22</f>
        <v>1350</v>
      </c>
      <c r="S48" s="76" t="n">
        <f aca="false">R48+S22</f>
        <v>1350</v>
      </c>
      <c r="T48" s="76" t="n">
        <f aca="false">S48+T22</f>
        <v>1350</v>
      </c>
      <c r="U48" s="76" t="n">
        <f aca="false">T48+U22</f>
        <v>1350</v>
      </c>
      <c r="V48" s="76" t="n">
        <f aca="false">U48+V22</f>
        <v>1350</v>
      </c>
      <c r="W48" s="76" t="n">
        <f aca="false">V48+W22</f>
        <v>1350</v>
      </c>
      <c r="X48" s="76" t="n">
        <f aca="false">W48+X22</f>
        <v>1350</v>
      </c>
      <c r="Y48" s="76" t="n">
        <f aca="false">X48+Y22</f>
        <v>1350</v>
      </c>
      <c r="Z48" s="76" t="n">
        <f aca="false">Y48+Z22</f>
        <v>1350</v>
      </c>
      <c r="AA48" s="76" t="n">
        <f aca="false">Z48+AA22</f>
        <v>1350</v>
      </c>
      <c r="AB48" s="76" t="n">
        <f aca="false">AA48+AB22</f>
        <v>1350</v>
      </c>
    </row>
    <row r="49" customFormat="false" ht="15" hidden="false" customHeight="false" outlineLevel="0" collapsed="false">
      <c r="A49" s="27" t="s">
        <v>941</v>
      </c>
      <c r="B49" s="63"/>
      <c r="C49" s="66" t="n">
        <f aca="false">P49</f>
        <v>0</v>
      </c>
      <c r="D49" s="66" t="n">
        <f aca="false">AB49</f>
        <v>0</v>
      </c>
      <c r="E49" s="67" t="n">
        <f aca="false">Project_Register!$N$8+E23</f>
        <v>0</v>
      </c>
      <c r="F49" s="76" t="n">
        <f aca="false">E49+F23</f>
        <v>0</v>
      </c>
      <c r="G49" s="76" t="n">
        <f aca="false">F49+G23</f>
        <v>0</v>
      </c>
      <c r="H49" s="76" t="n">
        <f aca="false">G49+H23</f>
        <v>0</v>
      </c>
      <c r="I49" s="76" t="n">
        <f aca="false">H49+I23</f>
        <v>0</v>
      </c>
      <c r="J49" s="76" t="n">
        <f aca="false">I49+J23</f>
        <v>0</v>
      </c>
      <c r="K49" s="76" t="n">
        <f aca="false">J49+K23</f>
        <v>0</v>
      </c>
      <c r="L49" s="76" t="n">
        <f aca="false">K49+L23</f>
        <v>0</v>
      </c>
      <c r="M49" s="76" t="n">
        <f aca="false">L49+M23</f>
        <v>0</v>
      </c>
      <c r="N49" s="76" t="n">
        <f aca="false">M49+N23</f>
        <v>0</v>
      </c>
      <c r="O49" s="76" t="n">
        <f aca="false">N49+O23</f>
        <v>0</v>
      </c>
      <c r="P49" s="76" t="n">
        <f aca="false">O49+P23</f>
        <v>0</v>
      </c>
      <c r="Q49" s="76" t="n">
        <f aca="false">P49+Q23</f>
        <v>0</v>
      </c>
      <c r="R49" s="76" t="n">
        <f aca="false">Q49+R23</f>
        <v>0</v>
      </c>
      <c r="S49" s="76" t="n">
        <f aca="false">R49+S23</f>
        <v>0</v>
      </c>
      <c r="T49" s="76" t="n">
        <f aca="false">S49+T23</f>
        <v>0</v>
      </c>
      <c r="U49" s="76" t="n">
        <f aca="false">T49+U23</f>
        <v>0</v>
      </c>
      <c r="V49" s="76" t="n">
        <f aca="false">U49+V23</f>
        <v>0</v>
      </c>
      <c r="W49" s="76" t="n">
        <f aca="false">V49+W23</f>
        <v>0</v>
      </c>
      <c r="X49" s="76" t="n">
        <f aca="false">W49+X23</f>
        <v>0</v>
      </c>
      <c r="Y49" s="76" t="n">
        <f aca="false">X49+Y23</f>
        <v>0</v>
      </c>
      <c r="Z49" s="76" t="n">
        <f aca="false">Y49+Z23</f>
        <v>0</v>
      </c>
      <c r="AA49" s="76" t="n">
        <f aca="false">Z49+AA23</f>
        <v>0</v>
      </c>
      <c r="AB49" s="76" t="n">
        <f aca="false">AA49+AB23</f>
        <v>0</v>
      </c>
    </row>
    <row r="50" customFormat="false" ht="15" hidden="false" customHeight="false" outlineLevel="0" collapsed="false">
      <c r="A50" s="27" t="s">
        <v>942</v>
      </c>
      <c r="B50" s="63"/>
      <c r="C50" s="66" t="n">
        <f aca="false">P50</f>
        <v>0</v>
      </c>
      <c r="D50" s="66" t="n">
        <f aca="false">AB50</f>
        <v>0</v>
      </c>
      <c r="E50" s="67" t="n">
        <f aca="false">Project_Register!$N$9+E24</f>
        <v>0</v>
      </c>
      <c r="F50" s="76" t="n">
        <f aca="false">E50+F24</f>
        <v>0</v>
      </c>
      <c r="G50" s="76" t="n">
        <f aca="false">F50+G24</f>
        <v>0</v>
      </c>
      <c r="H50" s="76" t="n">
        <f aca="false">G50+H24</f>
        <v>0</v>
      </c>
      <c r="I50" s="76" t="n">
        <f aca="false">H50+I24</f>
        <v>0</v>
      </c>
      <c r="J50" s="76" t="n">
        <f aca="false">I50+J24</f>
        <v>0</v>
      </c>
      <c r="K50" s="76" t="n">
        <f aca="false">J50+K24</f>
        <v>0</v>
      </c>
      <c r="L50" s="76" t="n">
        <f aca="false">K50+L24</f>
        <v>0</v>
      </c>
      <c r="M50" s="76" t="n">
        <f aca="false">L50+M24</f>
        <v>0</v>
      </c>
      <c r="N50" s="76" t="n">
        <f aca="false">M50+N24</f>
        <v>0</v>
      </c>
      <c r="O50" s="76" t="n">
        <f aca="false">N50+O24</f>
        <v>0</v>
      </c>
      <c r="P50" s="76" t="n">
        <f aca="false">O50+P24</f>
        <v>0</v>
      </c>
      <c r="Q50" s="76" t="n">
        <f aca="false">P50+Q24</f>
        <v>0</v>
      </c>
      <c r="R50" s="76" t="n">
        <f aca="false">Q50+R24</f>
        <v>0</v>
      </c>
      <c r="S50" s="76" t="n">
        <f aca="false">R50+S24</f>
        <v>0</v>
      </c>
      <c r="T50" s="76" t="n">
        <f aca="false">S50+T24</f>
        <v>0</v>
      </c>
      <c r="U50" s="76" t="n">
        <f aca="false">T50+U24</f>
        <v>0</v>
      </c>
      <c r="V50" s="76" t="n">
        <f aca="false">U50+V24</f>
        <v>0</v>
      </c>
      <c r="W50" s="76" t="n">
        <f aca="false">V50+W24</f>
        <v>0</v>
      </c>
      <c r="X50" s="76" t="n">
        <f aca="false">W50+X24</f>
        <v>0</v>
      </c>
      <c r="Y50" s="76" t="n">
        <f aca="false">X50+Y24</f>
        <v>0</v>
      </c>
      <c r="Z50" s="76" t="n">
        <f aca="false">Y50+Z24</f>
        <v>0</v>
      </c>
      <c r="AA50" s="76" t="n">
        <f aca="false">Z50+AA24</f>
        <v>0</v>
      </c>
      <c r="AB50" s="76" t="n">
        <f aca="false">AA50+AB24</f>
        <v>0</v>
      </c>
    </row>
    <row r="51" customFormat="false" ht="15" hidden="false" customHeight="false" outlineLevel="0" collapsed="false">
      <c r="A51" s="27" t="s">
        <v>943</v>
      </c>
      <c r="B51" s="63"/>
      <c r="C51" s="66" t="n">
        <f aca="false">P51</f>
        <v>0</v>
      </c>
      <c r="D51" s="66" t="n">
        <f aca="false">AB51</f>
        <v>0</v>
      </c>
      <c r="E51" s="67" t="n">
        <f aca="false">Project_Register!$N$10+E25</f>
        <v>0</v>
      </c>
      <c r="F51" s="76" t="n">
        <f aca="false">E51+F25</f>
        <v>0</v>
      </c>
      <c r="G51" s="76" t="n">
        <f aca="false">F51+G25</f>
        <v>0</v>
      </c>
      <c r="H51" s="76" t="n">
        <f aca="false">G51+H25</f>
        <v>0</v>
      </c>
      <c r="I51" s="76" t="n">
        <f aca="false">H51+I25</f>
        <v>0</v>
      </c>
      <c r="J51" s="76" t="n">
        <f aca="false">I51+J25</f>
        <v>0</v>
      </c>
      <c r="K51" s="76" t="n">
        <f aca="false">J51+K25</f>
        <v>0</v>
      </c>
      <c r="L51" s="76" t="n">
        <f aca="false">K51+L25</f>
        <v>0</v>
      </c>
      <c r="M51" s="76" t="n">
        <f aca="false">L51+M25</f>
        <v>0</v>
      </c>
      <c r="N51" s="76" t="n">
        <f aca="false">M51+N25</f>
        <v>0</v>
      </c>
      <c r="O51" s="76" t="n">
        <f aca="false">N51+O25</f>
        <v>0</v>
      </c>
      <c r="P51" s="76" t="n">
        <f aca="false">O51+P25</f>
        <v>0</v>
      </c>
      <c r="Q51" s="76" t="n">
        <f aca="false">P51+Q25</f>
        <v>0</v>
      </c>
      <c r="R51" s="76" t="n">
        <f aca="false">Q51+R25</f>
        <v>0</v>
      </c>
      <c r="S51" s="76" t="n">
        <f aca="false">R51+S25</f>
        <v>0</v>
      </c>
      <c r="T51" s="76" t="n">
        <f aca="false">S51+T25</f>
        <v>0</v>
      </c>
      <c r="U51" s="76" t="n">
        <f aca="false">T51+U25</f>
        <v>0</v>
      </c>
      <c r="V51" s="76" t="n">
        <f aca="false">U51+V25</f>
        <v>0</v>
      </c>
      <c r="W51" s="76" t="n">
        <f aca="false">V51+W25</f>
        <v>0</v>
      </c>
      <c r="X51" s="76" t="n">
        <f aca="false">W51+X25</f>
        <v>0</v>
      </c>
      <c r="Y51" s="76" t="n">
        <f aca="false">X51+Y25</f>
        <v>0</v>
      </c>
      <c r="Z51" s="76" t="n">
        <f aca="false">Y51+Z25</f>
        <v>0</v>
      </c>
      <c r="AA51" s="76" t="n">
        <f aca="false">Z51+AA25</f>
        <v>0</v>
      </c>
      <c r="AB51" s="76" t="n">
        <f aca="false">AA51+AB25</f>
        <v>0</v>
      </c>
    </row>
    <row r="52" customFormat="false" ht="15" hidden="false" customHeight="false" outlineLevel="0" collapsed="false">
      <c r="A52" s="27" t="s">
        <v>944</v>
      </c>
      <c r="B52" s="63"/>
      <c r="C52" s="66" t="n">
        <f aca="false">P52</f>
        <v>0</v>
      </c>
      <c r="D52" s="66" t="n">
        <f aca="false">AB52</f>
        <v>0</v>
      </c>
      <c r="E52" s="67" t="n">
        <f aca="false">Project_Register!$N$11+E26</f>
        <v>0</v>
      </c>
      <c r="F52" s="76" t="n">
        <f aca="false">E52+F26</f>
        <v>0</v>
      </c>
      <c r="G52" s="76" t="n">
        <f aca="false">F52+G26</f>
        <v>0</v>
      </c>
      <c r="H52" s="76" t="n">
        <f aca="false">G52+H26</f>
        <v>0</v>
      </c>
      <c r="I52" s="76" t="n">
        <f aca="false">H52+I26</f>
        <v>0</v>
      </c>
      <c r="J52" s="76" t="n">
        <f aca="false">I52+J26</f>
        <v>0</v>
      </c>
      <c r="K52" s="76" t="n">
        <f aca="false">J52+K26</f>
        <v>0</v>
      </c>
      <c r="L52" s="76" t="n">
        <f aca="false">K52+L26</f>
        <v>0</v>
      </c>
      <c r="M52" s="76" t="n">
        <f aca="false">L52+M26</f>
        <v>0</v>
      </c>
      <c r="N52" s="76" t="n">
        <f aca="false">M52+N26</f>
        <v>0</v>
      </c>
      <c r="O52" s="76" t="n">
        <f aca="false">N52+O26</f>
        <v>0</v>
      </c>
      <c r="P52" s="76" t="n">
        <f aca="false">O52+P26</f>
        <v>0</v>
      </c>
      <c r="Q52" s="76" t="n">
        <f aca="false">P52+Q26</f>
        <v>0</v>
      </c>
      <c r="R52" s="76" t="n">
        <f aca="false">Q52+R26</f>
        <v>0</v>
      </c>
      <c r="S52" s="76" t="n">
        <f aca="false">R52+S26</f>
        <v>0</v>
      </c>
      <c r="T52" s="76" t="n">
        <f aca="false">S52+T26</f>
        <v>0</v>
      </c>
      <c r="U52" s="76" t="n">
        <f aca="false">T52+U26</f>
        <v>0</v>
      </c>
      <c r="V52" s="76" t="n">
        <f aca="false">U52+V26</f>
        <v>0</v>
      </c>
      <c r="W52" s="76" t="n">
        <f aca="false">V52+W26</f>
        <v>0</v>
      </c>
      <c r="X52" s="76" t="n">
        <f aca="false">W52+X26</f>
        <v>0</v>
      </c>
      <c r="Y52" s="76" t="n">
        <f aca="false">X52+Y26</f>
        <v>0</v>
      </c>
      <c r="Z52" s="76" t="n">
        <f aca="false">Y52+Z26</f>
        <v>0</v>
      </c>
      <c r="AA52" s="76" t="n">
        <f aca="false">Z52+AA26</f>
        <v>0</v>
      </c>
      <c r="AB52" s="76" t="n">
        <f aca="false">AA52+AB26</f>
        <v>0</v>
      </c>
    </row>
    <row r="53" customFormat="false" ht="15" hidden="false" customHeight="false" outlineLevel="0" collapsed="false">
      <c r="A53" s="27" t="s">
        <v>945</v>
      </c>
      <c r="B53" s="63"/>
      <c r="C53" s="66" t="n">
        <f aca="false">P53</f>
        <v>0</v>
      </c>
      <c r="D53" s="66" t="n">
        <f aca="false">AB53</f>
        <v>0</v>
      </c>
      <c r="E53" s="67" t="n">
        <f aca="false">Project_Register!$N$12+E27</f>
        <v>0</v>
      </c>
      <c r="F53" s="76" t="n">
        <f aca="false">E53+F27</f>
        <v>0</v>
      </c>
      <c r="G53" s="76" t="n">
        <f aca="false">F53+G27</f>
        <v>0</v>
      </c>
      <c r="H53" s="76" t="n">
        <f aca="false">G53+H27</f>
        <v>0</v>
      </c>
      <c r="I53" s="76" t="n">
        <f aca="false">H53+I27</f>
        <v>0</v>
      </c>
      <c r="J53" s="76" t="n">
        <f aca="false">I53+J27</f>
        <v>0</v>
      </c>
      <c r="K53" s="76" t="n">
        <f aca="false">J53+K27</f>
        <v>0</v>
      </c>
      <c r="L53" s="76" t="n">
        <f aca="false">K53+L27</f>
        <v>0</v>
      </c>
      <c r="M53" s="76" t="n">
        <f aca="false">L53+M27</f>
        <v>0</v>
      </c>
      <c r="N53" s="76" t="n">
        <f aca="false">M53+N27</f>
        <v>0</v>
      </c>
      <c r="O53" s="76" t="n">
        <f aca="false">N53+O27</f>
        <v>0</v>
      </c>
      <c r="P53" s="76" t="n">
        <f aca="false">O53+P27</f>
        <v>0</v>
      </c>
      <c r="Q53" s="76" t="n">
        <f aca="false">P53+Q27</f>
        <v>0</v>
      </c>
      <c r="R53" s="76" t="n">
        <f aca="false">Q53+R27</f>
        <v>0</v>
      </c>
      <c r="S53" s="76" t="n">
        <f aca="false">R53+S27</f>
        <v>0</v>
      </c>
      <c r="T53" s="76" t="n">
        <f aca="false">S53+T27</f>
        <v>0</v>
      </c>
      <c r="U53" s="76" t="n">
        <f aca="false">T53+U27</f>
        <v>0</v>
      </c>
      <c r="V53" s="76" t="n">
        <f aca="false">U53+V27</f>
        <v>0</v>
      </c>
      <c r="W53" s="76" t="n">
        <f aca="false">V53+W27</f>
        <v>0</v>
      </c>
      <c r="X53" s="76" t="n">
        <f aca="false">W53+X27</f>
        <v>0</v>
      </c>
      <c r="Y53" s="76" t="n">
        <f aca="false">X53+Y27</f>
        <v>0</v>
      </c>
      <c r="Z53" s="76" t="n">
        <f aca="false">Y53+Z27</f>
        <v>0</v>
      </c>
      <c r="AA53" s="76" t="n">
        <f aca="false">Z53+AA27</f>
        <v>0</v>
      </c>
      <c r="AB53" s="76" t="n">
        <f aca="false">AA53+AB27</f>
        <v>0</v>
      </c>
    </row>
    <row r="54" customFormat="false" ht="15" hidden="false" customHeight="false" outlineLevel="0" collapsed="false">
      <c r="A54" s="27" t="s">
        <v>946</v>
      </c>
      <c r="B54" s="63"/>
      <c r="C54" s="66" t="n">
        <f aca="false">P54</f>
        <v>0</v>
      </c>
      <c r="D54" s="66" t="n">
        <f aca="false">AB54</f>
        <v>0</v>
      </c>
      <c r="E54" s="67" t="n">
        <f aca="false">Project_Register!$N$13+E28</f>
        <v>0</v>
      </c>
      <c r="F54" s="76" t="n">
        <f aca="false">E54+F28</f>
        <v>0</v>
      </c>
      <c r="G54" s="76" t="n">
        <f aca="false">F54+G28</f>
        <v>0</v>
      </c>
      <c r="H54" s="76" t="n">
        <f aca="false">G54+H28</f>
        <v>0</v>
      </c>
      <c r="I54" s="76" t="n">
        <f aca="false">H54+I28</f>
        <v>0</v>
      </c>
      <c r="J54" s="76" t="n">
        <f aca="false">I54+J28</f>
        <v>0</v>
      </c>
      <c r="K54" s="76" t="n">
        <f aca="false">J54+K28</f>
        <v>0</v>
      </c>
      <c r="L54" s="76" t="n">
        <f aca="false">K54+L28</f>
        <v>0</v>
      </c>
      <c r="M54" s="76" t="n">
        <f aca="false">L54+M28</f>
        <v>0</v>
      </c>
      <c r="N54" s="76" t="n">
        <f aca="false">M54+N28</f>
        <v>0</v>
      </c>
      <c r="O54" s="76" t="n">
        <f aca="false">N54+O28</f>
        <v>0</v>
      </c>
      <c r="P54" s="76" t="n">
        <f aca="false">O54+P28</f>
        <v>0</v>
      </c>
      <c r="Q54" s="76" t="n">
        <f aca="false">P54+Q28</f>
        <v>0</v>
      </c>
      <c r="R54" s="76" t="n">
        <f aca="false">Q54+R28</f>
        <v>0</v>
      </c>
      <c r="S54" s="76" t="n">
        <f aca="false">R54+S28</f>
        <v>0</v>
      </c>
      <c r="T54" s="76" t="n">
        <f aca="false">S54+T28</f>
        <v>0</v>
      </c>
      <c r="U54" s="76" t="n">
        <f aca="false">T54+U28</f>
        <v>0</v>
      </c>
      <c r="V54" s="76" t="n">
        <f aca="false">U54+V28</f>
        <v>0</v>
      </c>
      <c r="W54" s="76" t="n">
        <f aca="false">V54+W28</f>
        <v>0</v>
      </c>
      <c r="X54" s="76" t="n">
        <f aca="false">W54+X28</f>
        <v>0</v>
      </c>
      <c r="Y54" s="76" t="n">
        <f aca="false">X54+Y28</f>
        <v>0</v>
      </c>
      <c r="Z54" s="76" t="n">
        <f aca="false">Y54+Z28</f>
        <v>0</v>
      </c>
      <c r="AA54" s="76" t="n">
        <f aca="false">Z54+AA28</f>
        <v>0</v>
      </c>
      <c r="AB54" s="76" t="n">
        <f aca="false">AA54+AB28</f>
        <v>0</v>
      </c>
    </row>
    <row r="55" customFormat="false" ht="15" hidden="false" customHeight="false" outlineLevel="0" collapsed="false">
      <c r="A55" s="27" t="s">
        <v>947</v>
      </c>
      <c r="B55" s="63"/>
      <c r="C55" s="66" t="n">
        <f aca="false">P55</f>
        <v>0</v>
      </c>
      <c r="D55" s="66" t="n">
        <f aca="false">AB55</f>
        <v>0</v>
      </c>
      <c r="E55" s="67" t="n">
        <f aca="false">Project_Register!$N$14+E29</f>
        <v>0</v>
      </c>
      <c r="F55" s="76" t="n">
        <f aca="false">E55+F29</f>
        <v>0</v>
      </c>
      <c r="G55" s="76" t="n">
        <f aca="false">F55+G29</f>
        <v>0</v>
      </c>
      <c r="H55" s="76" t="n">
        <f aca="false">G55+H29</f>
        <v>0</v>
      </c>
      <c r="I55" s="76" t="n">
        <f aca="false">H55+I29</f>
        <v>0</v>
      </c>
      <c r="J55" s="76" t="n">
        <f aca="false">I55+J29</f>
        <v>0</v>
      </c>
      <c r="K55" s="76" t="n">
        <f aca="false">J55+K29</f>
        <v>0</v>
      </c>
      <c r="L55" s="76" t="n">
        <f aca="false">K55+L29</f>
        <v>0</v>
      </c>
      <c r="M55" s="76" t="n">
        <f aca="false">L55+M29</f>
        <v>0</v>
      </c>
      <c r="N55" s="76" t="n">
        <f aca="false">M55+N29</f>
        <v>0</v>
      </c>
      <c r="O55" s="76" t="n">
        <f aca="false">N55+O29</f>
        <v>0</v>
      </c>
      <c r="P55" s="76" t="n">
        <f aca="false">O55+P29</f>
        <v>0</v>
      </c>
      <c r="Q55" s="76" t="n">
        <f aca="false">P55+Q29</f>
        <v>0</v>
      </c>
      <c r="R55" s="76" t="n">
        <f aca="false">Q55+R29</f>
        <v>0</v>
      </c>
      <c r="S55" s="76" t="n">
        <f aca="false">R55+S29</f>
        <v>0</v>
      </c>
      <c r="T55" s="76" t="n">
        <f aca="false">S55+T29</f>
        <v>0</v>
      </c>
      <c r="U55" s="76" t="n">
        <f aca="false">T55+U29</f>
        <v>0</v>
      </c>
      <c r="V55" s="76" t="n">
        <f aca="false">U55+V29</f>
        <v>0</v>
      </c>
      <c r="W55" s="76" t="n">
        <f aca="false">V55+W29</f>
        <v>0</v>
      </c>
      <c r="X55" s="76" t="n">
        <f aca="false">W55+X29</f>
        <v>0</v>
      </c>
      <c r="Y55" s="76" t="n">
        <f aca="false">X55+Y29</f>
        <v>0</v>
      </c>
      <c r="Z55" s="76" t="n">
        <f aca="false">Y55+Z29</f>
        <v>0</v>
      </c>
      <c r="AA55" s="76" t="n">
        <f aca="false">Z55+AA29</f>
        <v>0</v>
      </c>
      <c r="AB55" s="76" t="n">
        <f aca="false">AA55+AB29</f>
        <v>0</v>
      </c>
    </row>
    <row r="56" customFormat="false" ht="15" hidden="false" customHeight="false" outlineLevel="0" collapsed="false">
      <c r="A56" s="27" t="s">
        <v>948</v>
      </c>
      <c r="B56" s="63"/>
      <c r="C56" s="66" t="n">
        <f aca="false">P56</f>
        <v>0</v>
      </c>
      <c r="D56" s="66" t="n">
        <f aca="false">AB56</f>
        <v>0</v>
      </c>
      <c r="E56" s="67" t="n">
        <f aca="false">Project_Register!$N$15+E30</f>
        <v>0</v>
      </c>
      <c r="F56" s="76" t="n">
        <f aca="false">E56+F30</f>
        <v>0</v>
      </c>
      <c r="G56" s="76" t="n">
        <f aca="false">F56+G30</f>
        <v>0</v>
      </c>
      <c r="H56" s="76" t="n">
        <f aca="false">G56+H30</f>
        <v>0</v>
      </c>
      <c r="I56" s="76" t="n">
        <f aca="false">H56+I30</f>
        <v>0</v>
      </c>
      <c r="J56" s="76" t="n">
        <f aca="false">I56+J30</f>
        <v>0</v>
      </c>
      <c r="K56" s="76" t="n">
        <f aca="false">J56+K30</f>
        <v>0</v>
      </c>
      <c r="L56" s="76" t="n">
        <f aca="false">K56+L30</f>
        <v>0</v>
      </c>
      <c r="M56" s="76" t="n">
        <f aca="false">L56+M30</f>
        <v>0</v>
      </c>
      <c r="N56" s="76" t="n">
        <f aca="false">M56+N30</f>
        <v>0</v>
      </c>
      <c r="O56" s="76" t="n">
        <f aca="false">N56+O30</f>
        <v>0</v>
      </c>
      <c r="P56" s="76" t="n">
        <f aca="false">O56+P30</f>
        <v>0</v>
      </c>
      <c r="Q56" s="76" t="n">
        <f aca="false">P56+Q30</f>
        <v>0</v>
      </c>
      <c r="R56" s="76" t="n">
        <f aca="false">Q56+R30</f>
        <v>0</v>
      </c>
      <c r="S56" s="76" t="n">
        <f aca="false">R56+S30</f>
        <v>0</v>
      </c>
      <c r="T56" s="76" t="n">
        <f aca="false">S56+T30</f>
        <v>0</v>
      </c>
      <c r="U56" s="76" t="n">
        <f aca="false">T56+U30</f>
        <v>0</v>
      </c>
      <c r="V56" s="76" t="n">
        <f aca="false">U56+V30</f>
        <v>0</v>
      </c>
      <c r="W56" s="76" t="n">
        <f aca="false">V56+W30</f>
        <v>0</v>
      </c>
      <c r="X56" s="76" t="n">
        <f aca="false">W56+X30</f>
        <v>0</v>
      </c>
      <c r="Y56" s="76" t="n">
        <f aca="false">X56+Y30</f>
        <v>0</v>
      </c>
      <c r="Z56" s="76" t="n">
        <f aca="false">Y56+Z30</f>
        <v>0</v>
      </c>
      <c r="AA56" s="76" t="n">
        <f aca="false">Z56+AA30</f>
        <v>0</v>
      </c>
      <c r="AB56" s="76" t="n">
        <f aca="false">AA56+AB30</f>
        <v>0</v>
      </c>
    </row>
    <row r="57" customFormat="false" ht="15" hidden="false" customHeight="false" outlineLevel="0" collapsed="false">
      <c r="A57" s="27" t="s">
        <v>949</v>
      </c>
      <c r="B57" s="63"/>
      <c r="C57" s="66" t="n">
        <f aca="false">P57</f>
        <v>0</v>
      </c>
      <c r="D57" s="66" t="n">
        <f aca="false">AB57</f>
        <v>0</v>
      </c>
      <c r="E57" s="67" t="n">
        <f aca="false">Project_Register!$N$16+E31</f>
        <v>0</v>
      </c>
      <c r="F57" s="76" t="n">
        <f aca="false">E57+F31</f>
        <v>0</v>
      </c>
      <c r="G57" s="76" t="n">
        <f aca="false">F57+G31</f>
        <v>0</v>
      </c>
      <c r="H57" s="76" t="n">
        <f aca="false">G57+H31</f>
        <v>0</v>
      </c>
      <c r="I57" s="76" t="n">
        <f aca="false">H57+I31</f>
        <v>0</v>
      </c>
      <c r="J57" s="76" t="n">
        <f aca="false">I57+J31</f>
        <v>0</v>
      </c>
      <c r="K57" s="76" t="n">
        <f aca="false">J57+K31</f>
        <v>0</v>
      </c>
      <c r="L57" s="76" t="n">
        <f aca="false">K57+L31</f>
        <v>0</v>
      </c>
      <c r="M57" s="76" t="n">
        <f aca="false">L57+M31</f>
        <v>0</v>
      </c>
      <c r="N57" s="76" t="n">
        <f aca="false">M57+N31</f>
        <v>0</v>
      </c>
      <c r="O57" s="76" t="n">
        <f aca="false">N57+O31</f>
        <v>0</v>
      </c>
      <c r="P57" s="76" t="n">
        <f aca="false">O57+P31</f>
        <v>0</v>
      </c>
      <c r="Q57" s="76" t="n">
        <f aca="false">P57+Q31</f>
        <v>0</v>
      </c>
      <c r="R57" s="76" t="n">
        <f aca="false">Q57+R31</f>
        <v>0</v>
      </c>
      <c r="S57" s="76" t="n">
        <f aca="false">R57+S31</f>
        <v>0</v>
      </c>
      <c r="T57" s="76" t="n">
        <f aca="false">S57+T31</f>
        <v>0</v>
      </c>
      <c r="U57" s="76" t="n">
        <f aca="false">T57+U31</f>
        <v>0</v>
      </c>
      <c r="V57" s="76" t="n">
        <f aca="false">U57+V31</f>
        <v>0</v>
      </c>
      <c r="W57" s="76" t="n">
        <f aca="false">V57+W31</f>
        <v>0</v>
      </c>
      <c r="X57" s="76" t="n">
        <f aca="false">W57+X31</f>
        <v>0</v>
      </c>
      <c r="Y57" s="76" t="n">
        <f aca="false">X57+Y31</f>
        <v>0</v>
      </c>
      <c r="Z57" s="76" t="n">
        <f aca="false">Y57+Z31</f>
        <v>0</v>
      </c>
      <c r="AA57" s="76" t="n">
        <f aca="false">Z57+AA31</f>
        <v>0</v>
      </c>
      <c r="AB57" s="76" t="n">
        <f aca="false">AA57+AB31</f>
        <v>0</v>
      </c>
    </row>
    <row r="58" customFormat="false" ht="15" hidden="false" customHeight="false" outlineLevel="0" collapsed="false">
      <c r="A58" s="27" t="s">
        <v>950</v>
      </c>
      <c r="B58" s="63"/>
      <c r="C58" s="66" t="n">
        <f aca="false">P58</f>
        <v>0</v>
      </c>
      <c r="D58" s="66" t="n">
        <f aca="false">AB58</f>
        <v>0</v>
      </c>
      <c r="E58" s="67" t="n">
        <f aca="false">Project_Register!$N$17+E32</f>
        <v>0</v>
      </c>
      <c r="F58" s="76" t="n">
        <f aca="false">E58+F32</f>
        <v>0</v>
      </c>
      <c r="G58" s="76" t="n">
        <f aca="false">F58+G32</f>
        <v>0</v>
      </c>
      <c r="H58" s="76" t="n">
        <f aca="false">G58+H32</f>
        <v>0</v>
      </c>
      <c r="I58" s="76" t="n">
        <f aca="false">H58+I32</f>
        <v>0</v>
      </c>
      <c r="J58" s="76" t="n">
        <f aca="false">I58+J32</f>
        <v>0</v>
      </c>
      <c r="K58" s="76" t="n">
        <f aca="false">J58+K32</f>
        <v>0</v>
      </c>
      <c r="L58" s="76" t="n">
        <f aca="false">K58+L32</f>
        <v>0</v>
      </c>
      <c r="M58" s="76" t="n">
        <f aca="false">L58+M32</f>
        <v>0</v>
      </c>
      <c r="N58" s="76" t="n">
        <f aca="false">M58+N32</f>
        <v>0</v>
      </c>
      <c r="O58" s="76" t="n">
        <f aca="false">N58+O32</f>
        <v>0</v>
      </c>
      <c r="P58" s="76" t="n">
        <f aca="false">O58+P32</f>
        <v>0</v>
      </c>
      <c r="Q58" s="76" t="n">
        <f aca="false">P58+Q32</f>
        <v>0</v>
      </c>
      <c r="R58" s="76" t="n">
        <f aca="false">Q58+R32</f>
        <v>0</v>
      </c>
      <c r="S58" s="76" t="n">
        <f aca="false">R58+S32</f>
        <v>0</v>
      </c>
      <c r="T58" s="76" t="n">
        <f aca="false">S58+T32</f>
        <v>0</v>
      </c>
      <c r="U58" s="76" t="n">
        <f aca="false">T58+U32</f>
        <v>0</v>
      </c>
      <c r="V58" s="76" t="n">
        <f aca="false">U58+V32</f>
        <v>0</v>
      </c>
      <c r="W58" s="76" t="n">
        <f aca="false">V58+W32</f>
        <v>0</v>
      </c>
      <c r="X58" s="76" t="n">
        <f aca="false">W58+X32</f>
        <v>0</v>
      </c>
      <c r="Y58" s="76" t="n">
        <f aca="false">X58+Y32</f>
        <v>0</v>
      </c>
      <c r="Z58" s="76" t="n">
        <f aca="false">Y58+Z32</f>
        <v>0</v>
      </c>
      <c r="AA58" s="76" t="n">
        <f aca="false">Z58+AA32</f>
        <v>0</v>
      </c>
      <c r="AB58" s="76" t="n">
        <f aca="false">AA58+AB32</f>
        <v>0</v>
      </c>
    </row>
    <row r="59" customFormat="false" ht="15" hidden="false" customHeight="false" outlineLevel="0" collapsed="false">
      <c r="A59" s="27" t="s">
        <v>951</v>
      </c>
      <c r="B59" s="63"/>
      <c r="C59" s="66" t="n">
        <f aca="false">P59</f>
        <v>0</v>
      </c>
      <c r="D59" s="66" t="n">
        <f aca="false">AB59</f>
        <v>0</v>
      </c>
      <c r="E59" s="67" t="n">
        <f aca="false">Project_Register!$N$18+E33</f>
        <v>0</v>
      </c>
      <c r="F59" s="76" t="n">
        <f aca="false">E59+F33</f>
        <v>0</v>
      </c>
      <c r="G59" s="76" t="n">
        <f aca="false">F59+G33</f>
        <v>0</v>
      </c>
      <c r="H59" s="76" t="n">
        <f aca="false">G59+H33</f>
        <v>0</v>
      </c>
      <c r="I59" s="76" t="n">
        <f aca="false">H59+I33</f>
        <v>0</v>
      </c>
      <c r="J59" s="76" t="n">
        <f aca="false">I59+J33</f>
        <v>0</v>
      </c>
      <c r="K59" s="76" t="n">
        <f aca="false">J59+K33</f>
        <v>0</v>
      </c>
      <c r="L59" s="76" t="n">
        <f aca="false">K59+L33</f>
        <v>0</v>
      </c>
      <c r="M59" s="76" t="n">
        <f aca="false">L59+M33</f>
        <v>0</v>
      </c>
      <c r="N59" s="76" t="n">
        <f aca="false">M59+N33</f>
        <v>0</v>
      </c>
      <c r="O59" s="76" t="n">
        <f aca="false">N59+O33</f>
        <v>0</v>
      </c>
      <c r="P59" s="76" t="n">
        <f aca="false">O59+P33</f>
        <v>0</v>
      </c>
      <c r="Q59" s="76" t="n">
        <f aca="false">P59+Q33</f>
        <v>0</v>
      </c>
      <c r="R59" s="76" t="n">
        <f aca="false">Q59+R33</f>
        <v>0</v>
      </c>
      <c r="S59" s="76" t="n">
        <f aca="false">R59+S33</f>
        <v>0</v>
      </c>
      <c r="T59" s="76" t="n">
        <f aca="false">S59+T33</f>
        <v>0</v>
      </c>
      <c r="U59" s="76" t="n">
        <f aca="false">T59+U33</f>
        <v>0</v>
      </c>
      <c r="V59" s="76" t="n">
        <f aca="false">U59+V33</f>
        <v>0</v>
      </c>
      <c r="W59" s="76" t="n">
        <f aca="false">V59+W33</f>
        <v>0</v>
      </c>
      <c r="X59" s="76" t="n">
        <f aca="false">W59+X33</f>
        <v>0</v>
      </c>
      <c r="Y59" s="76" t="n">
        <f aca="false">X59+Y33</f>
        <v>0</v>
      </c>
      <c r="Z59" s="76" t="n">
        <f aca="false">Y59+Z33</f>
        <v>0</v>
      </c>
      <c r="AA59" s="76" t="n">
        <f aca="false">Z59+AA33</f>
        <v>0</v>
      </c>
      <c r="AB59" s="76" t="n">
        <f aca="false">AA59+AB33</f>
        <v>0</v>
      </c>
    </row>
    <row r="60" customFormat="false" ht="15" hidden="false" customHeight="false" outlineLevel="0" collapsed="false">
      <c r="A60" s="21" t="s">
        <v>954</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row>
    <row r="61" customFormat="false" ht="15" hidden="false" customHeight="false" outlineLevel="0" collapsed="false">
      <c r="A61" s="27" t="s">
        <v>940</v>
      </c>
      <c r="B61" s="63"/>
      <c r="C61" s="65" t="n">
        <f aca="false">P61</f>
        <v>1</v>
      </c>
      <c r="D61" s="65" t="n">
        <f aca="false">AB61</f>
        <v>1</v>
      </c>
      <c r="E61" s="64" t="n">
        <f aca="false">IF(E$5="A",IF(Project_Register!$F$7=0,0,(Project_Register!$O$7+SUM(Inputs_Actuals!$E$148:E$148))/Project_Register!$F$7),IF(Assumptions!E$201&lt;Project_Register!$I$7,0,MIN(1,IF((Project_Register!$U$7+Project_Register!$V$7)=0,0,(E35+E48)/(Project_Register!$U$7+Project_Register!$V$7)))))</f>
        <v>0.173170759493671</v>
      </c>
      <c r="F61" s="64" t="n">
        <f aca="false">IF(F$5="A",IF(Project_Register!$F$7=0,0,(Project_Register!$O$7+SUM(Inputs_Actuals!$E$148:F$148))/Project_Register!$F$7),IF(Assumptions!F$201&lt;Project_Register!$I$7,0,MIN(1,IF((Project_Register!$U$7+Project_Register!$V$7)=0,0,(F35+F48)/(Project_Register!$U$7+Project_Register!$V$7)))))</f>
        <v>0.278048797468354</v>
      </c>
      <c r="G61" s="64" t="n">
        <f aca="false">IF(G$5="A",IF(Project_Register!$F$7=0,0,(Project_Register!$O$7+SUM(Inputs_Actuals!$E$148:G$148))/Project_Register!$F$7),IF(Assumptions!G$201&lt;Project_Register!$I$7,0,MIN(1,IF((Project_Register!$U$7+Project_Register!$V$7)=0,0,(G35+G48)/(Project_Register!$U$7+Project_Register!$V$7)))))</f>
        <v>0.4</v>
      </c>
      <c r="H61" s="64" t="n">
        <f aca="false">IF(H$5="A",IF(Project_Register!$F$7=0,0,(Project_Register!$O$7+SUM(Inputs_Actuals!$E$148:H$148))/Project_Register!$F$7),IF(Assumptions!H$201&lt;Project_Register!$I$7,0,MIN(1,IF((Project_Register!$U$7+Project_Register!$V$7)=0,0,(H35+H48)/(Project_Register!$U$7+Project_Register!$V$7)))))</f>
        <v>0.551219493670886</v>
      </c>
      <c r="I61" s="64" t="n">
        <f aca="false">IF(I$5="A",IF(Project_Register!$F$7=0,0,(Project_Register!$O$7+SUM(Inputs_Actuals!$E$148:I$148))/Project_Register!$F$7),IF(Assumptions!I$201&lt;Project_Register!$I$7,0,MIN(1,IF((Project_Register!$U$7+Project_Register!$V$7)=0,0,(I35+I48)/(Project_Register!$U$7+Project_Register!$V$7)))))</f>
        <v>0.717073164556962</v>
      </c>
      <c r="J61" s="64" t="n">
        <f aca="false">IF(J$5="A",IF(Project_Register!$F$7=0,0,(Project_Register!$O$7+SUM(Inputs_Actuals!$E$148:J$148))/Project_Register!$F$7),IF(Assumptions!J$201&lt;Project_Register!$I$7,0,MIN(1,IF((Project_Register!$U$7+Project_Register!$V$7)=0,0,(J35+J48)/(Project_Register!$U$7+Project_Register!$V$7)))))</f>
        <v>0.524285696202532</v>
      </c>
      <c r="K61" s="64" t="n">
        <f aca="false">IF(K$5="A",IF(Project_Register!$F$7=0,0,(Project_Register!$O$7+SUM(Inputs_Actuals!$E$148:K$148))/Project_Register!$F$7),IF(Assumptions!K$201&lt;Project_Register!$I$7,0,MIN(1,IF((Project_Register!$U$7+Project_Register!$V$7)=0,0,(K35+K48)/(Project_Register!$U$7+Project_Register!$V$7)))))</f>
        <v>0.621428544303798</v>
      </c>
      <c r="L61" s="64" t="n">
        <f aca="false">IF(L$5="A",IF(Project_Register!$F$7=0,0,(Project_Register!$O$7+SUM(Inputs_Actuals!$E$148:L$148))/Project_Register!$F$7),IF(Assumptions!L$201&lt;Project_Register!$I$7,0,MIN(1,IF((Project_Register!$U$7+Project_Register!$V$7)=0,0,(L35+L48)/(Project_Register!$U$7+Project_Register!$V$7)))))</f>
        <v>0.684285696202532</v>
      </c>
      <c r="M61" s="64" t="n">
        <f aca="false">IF(M$5="A",IF(Project_Register!$F$7=0,0,(Project_Register!$O$7+SUM(Inputs_Actuals!$E$148:M$148))/Project_Register!$F$7),IF(Assumptions!M$201&lt;Project_Register!$I$7,0,MIN(1,IF((Project_Register!$U$7+Project_Register!$V$7)=0,0,(M35+M48)/(Project_Register!$U$7+Project_Register!$V$7)))))</f>
        <v>0.789523809523809</v>
      </c>
      <c r="N61" s="64" t="n">
        <f aca="false">IF(N$5="A",IF(Project_Register!$F$7=0,0,(Project_Register!$O$7+SUM(Inputs_Actuals!$E$148:N$148))/Project_Register!$F$7),IF(Assumptions!N$201&lt;Project_Register!$I$7,0,MIN(1,IF((Project_Register!$U$7+Project_Register!$V$7)=0,0,(N35+N48)/(Project_Register!$U$7+Project_Register!$V$7)))))</f>
        <v>0.894761904761905</v>
      </c>
      <c r="O61" s="64" t="n">
        <f aca="false">IF(O$5="A",IF(Project_Register!$F$7=0,0,(Project_Register!$O$7+SUM(Inputs_Actuals!$E$148:O$148))/Project_Register!$F$7),IF(Assumptions!O$201&lt;Project_Register!$I$7,0,MIN(1,IF((Project_Register!$U$7+Project_Register!$V$7)=0,0,(O35+O48)/(Project_Register!$U$7+Project_Register!$V$7)))))</f>
        <v>1</v>
      </c>
      <c r="P61" s="64" t="n">
        <f aca="false">IF(P$5="A",IF(Project_Register!$F$7=0,0,(Project_Register!$O$7+SUM(Inputs_Actuals!$E$148:P$148))/Project_Register!$F$7),IF(Assumptions!P$201&lt;Project_Register!$I$7,0,MIN(1,IF((Project_Register!$U$7+Project_Register!$V$7)=0,0,(P35+P48)/(Project_Register!$U$7+Project_Register!$V$7)))))</f>
        <v>1</v>
      </c>
      <c r="Q61" s="64" t="n">
        <f aca="false">IF(Q$5="A",IF(Project_Register!$F$7=0,0,(Project_Register!$O$7+SUM(Inputs_Actuals!$E$148:Q$148))/Project_Register!$F$7),IF(Assumptions!Q$201&lt;Project_Register!$I$7,0,MIN(1,IF((Project_Register!$U$7+Project_Register!$V$7)=0,0,(Q35+Q48)/(Project_Register!$U$7+Project_Register!$V$7)))))</f>
        <v>1</v>
      </c>
      <c r="R61" s="64" t="n">
        <f aca="false">IF(R$5="A",IF(Project_Register!$F$7=0,0,(Project_Register!$O$7+SUM(Inputs_Actuals!$E$148:R$148))/Project_Register!$F$7),IF(Assumptions!R$201&lt;Project_Register!$I$7,0,MIN(1,IF((Project_Register!$U$7+Project_Register!$V$7)=0,0,(R35+R48)/(Project_Register!$U$7+Project_Register!$V$7)))))</f>
        <v>1</v>
      </c>
      <c r="S61" s="64" t="n">
        <f aca="false">IF(S$5="A",IF(Project_Register!$F$7=0,0,(Project_Register!$O$7+SUM(Inputs_Actuals!$E$148:S$148))/Project_Register!$F$7),IF(Assumptions!S$201&lt;Project_Register!$I$7,0,MIN(1,IF((Project_Register!$U$7+Project_Register!$V$7)=0,0,(S35+S48)/(Project_Register!$U$7+Project_Register!$V$7)))))</f>
        <v>1</v>
      </c>
      <c r="T61" s="64" t="n">
        <f aca="false">IF(T$5="A",IF(Project_Register!$F$7=0,0,(Project_Register!$O$7+SUM(Inputs_Actuals!$E$148:T$148))/Project_Register!$F$7),IF(Assumptions!T$201&lt;Project_Register!$I$7,0,MIN(1,IF((Project_Register!$U$7+Project_Register!$V$7)=0,0,(T35+T48)/(Project_Register!$U$7+Project_Register!$V$7)))))</f>
        <v>1</v>
      </c>
      <c r="U61" s="64" t="n">
        <f aca="false">IF(U$5="A",IF(Project_Register!$F$7=0,0,(Project_Register!$O$7+SUM(Inputs_Actuals!$E$148:U$148))/Project_Register!$F$7),IF(Assumptions!U$201&lt;Project_Register!$I$7,0,MIN(1,IF((Project_Register!$U$7+Project_Register!$V$7)=0,0,(U35+U48)/(Project_Register!$U$7+Project_Register!$V$7)))))</f>
        <v>1</v>
      </c>
      <c r="V61" s="64" t="n">
        <f aca="false">IF(V$5="A",IF(Project_Register!$F$7=0,0,(Project_Register!$O$7+SUM(Inputs_Actuals!$E$148:V$148))/Project_Register!$F$7),IF(Assumptions!V$201&lt;Project_Register!$I$7,0,MIN(1,IF((Project_Register!$U$7+Project_Register!$V$7)=0,0,(V35+V48)/(Project_Register!$U$7+Project_Register!$V$7)))))</f>
        <v>1</v>
      </c>
      <c r="W61" s="64" t="n">
        <f aca="false">IF(W$5="A",IF(Project_Register!$F$7=0,0,(Project_Register!$O$7+SUM(Inputs_Actuals!$E$148:W$148))/Project_Register!$F$7),IF(Assumptions!W$201&lt;Project_Register!$I$7,0,MIN(1,IF((Project_Register!$U$7+Project_Register!$V$7)=0,0,(W35+W48)/(Project_Register!$U$7+Project_Register!$V$7)))))</f>
        <v>1</v>
      </c>
      <c r="X61" s="64" t="n">
        <f aca="false">IF(X$5="A",IF(Project_Register!$F$7=0,0,(Project_Register!$O$7+SUM(Inputs_Actuals!$E$148:X$148))/Project_Register!$F$7),IF(Assumptions!X$201&lt;Project_Register!$I$7,0,MIN(1,IF((Project_Register!$U$7+Project_Register!$V$7)=0,0,(X35+X48)/(Project_Register!$U$7+Project_Register!$V$7)))))</f>
        <v>1</v>
      </c>
      <c r="Y61" s="64" t="n">
        <f aca="false">IF(Y$5="A",IF(Project_Register!$F$7=0,0,(Project_Register!$O$7+SUM(Inputs_Actuals!$E$148:Y$148))/Project_Register!$F$7),IF(Assumptions!Y$201&lt;Project_Register!$I$7,0,MIN(1,IF((Project_Register!$U$7+Project_Register!$V$7)=0,0,(Y35+Y48)/(Project_Register!$U$7+Project_Register!$V$7)))))</f>
        <v>1</v>
      </c>
      <c r="Z61" s="64" t="n">
        <f aca="false">IF(Z$5="A",IF(Project_Register!$F$7=0,0,(Project_Register!$O$7+SUM(Inputs_Actuals!$E$148:Z$148))/Project_Register!$F$7),IF(Assumptions!Z$201&lt;Project_Register!$I$7,0,MIN(1,IF((Project_Register!$U$7+Project_Register!$V$7)=0,0,(Z35+Z48)/(Project_Register!$U$7+Project_Register!$V$7)))))</f>
        <v>1</v>
      </c>
      <c r="AA61" s="64" t="n">
        <f aca="false">IF(AA$5="A",IF(Project_Register!$F$7=0,0,(Project_Register!$O$7+SUM(Inputs_Actuals!$E$148:AA$148))/Project_Register!$F$7),IF(Assumptions!AA$201&lt;Project_Register!$I$7,0,MIN(1,IF((Project_Register!$U$7+Project_Register!$V$7)=0,0,(AA35+AA48)/(Project_Register!$U$7+Project_Register!$V$7)))))</f>
        <v>1</v>
      </c>
      <c r="AB61" s="64" t="n">
        <f aca="false">IF(AB$5="A",IF(Project_Register!$F$7=0,0,(Project_Register!$O$7+SUM(Inputs_Actuals!$E$148:AB$148))/Project_Register!$F$7),IF(Assumptions!AB$201&lt;Project_Register!$I$7,0,MIN(1,IF((Project_Register!$U$7+Project_Register!$V$7)=0,0,(AB35+AB48)/(Project_Register!$U$7+Project_Register!$V$7)))))</f>
        <v>1</v>
      </c>
    </row>
    <row r="62" customFormat="false" ht="15" hidden="false" customHeight="false" outlineLevel="0" collapsed="false">
      <c r="A62" s="27" t="s">
        <v>941</v>
      </c>
      <c r="B62" s="63"/>
      <c r="C62" s="65" t="n">
        <f aca="false">P62</f>
        <v>1</v>
      </c>
      <c r="D62" s="65" t="n">
        <f aca="false">AB62</f>
        <v>1</v>
      </c>
      <c r="E62" s="64" t="n">
        <f aca="false">IF(E$5="A",IF(Project_Register!$F$8=0,0,(Project_Register!$O$8+SUM(Inputs_Actuals!$E$151:E$151))/Project_Register!$F$8),IF(Assumptions!E$201&lt;Project_Register!$I$8,0,MIN(1,IF((Project_Register!$U$8+Project_Register!$V$8)=0,0,(E36+E49)/(Project_Register!$U$8+Project_Register!$V$8)))))</f>
        <v>0.21794875</v>
      </c>
      <c r="F62" s="64" t="n">
        <f aca="false">IF(F$5="A",IF(Project_Register!$F$8=0,0,(Project_Register!$O$8+SUM(Inputs_Actuals!$E$151:F$151))/Project_Register!$F$8),IF(Assumptions!F$201&lt;Project_Register!$I$8,0,MIN(1,IF((Project_Register!$U$8+Project_Register!$V$8)=0,0,(F36+F49)/(Project_Register!$U$8+Project_Register!$V$8)))))</f>
        <v>0.51282046875</v>
      </c>
      <c r="G62" s="64" t="n">
        <f aca="false">IF(G$5="A",IF(Project_Register!$F$8=0,0,(Project_Register!$O$8+SUM(Inputs_Actuals!$E$151:G$151))/Project_Register!$F$8),IF(Assumptions!G$201&lt;Project_Register!$I$8,0,MIN(1,IF((Project_Register!$U$8+Project_Register!$V$8)=0,0,(G36+G49)/(Project_Register!$U$8+Project_Register!$V$8)))))</f>
        <v>0.79487171875</v>
      </c>
      <c r="H62" s="64" t="n">
        <f aca="false">IF(H$5="A",IF(Project_Register!$F$8=0,0,(Project_Register!$O$8+SUM(Inputs_Actuals!$E$151:H$151))/Project_Register!$F$8),IF(Assumptions!H$201&lt;Project_Register!$I$8,0,MIN(1,IF((Project_Register!$U$8+Project_Register!$V$8)=0,0,(H36+H49)/(Project_Register!$U$8+Project_Register!$V$8)))))</f>
        <v>1</v>
      </c>
      <c r="I62" s="64" t="n">
        <f aca="false">IF(I$5="A",IF(Project_Register!$F$8=0,0,(Project_Register!$O$8+SUM(Inputs_Actuals!$E$151:I$151))/Project_Register!$F$8),IF(Assumptions!I$201&lt;Project_Register!$I$8,0,MIN(1,IF((Project_Register!$U$8+Project_Register!$V$8)=0,0,(I36+I49)/(Project_Register!$U$8+Project_Register!$V$8)))))</f>
        <v>1</v>
      </c>
      <c r="J62" s="64" t="n">
        <f aca="false">IF(J$5="A",IF(Project_Register!$F$8=0,0,(Project_Register!$O$8+SUM(Inputs_Actuals!$E$151:J$151))/Project_Register!$F$8),IF(Assumptions!J$201&lt;Project_Register!$I$8,0,MIN(1,IF((Project_Register!$U$8+Project_Register!$V$8)=0,0,(J36+J49)/(Project_Register!$U$8+Project_Register!$V$8)))))</f>
        <v>1</v>
      </c>
      <c r="K62" s="64" t="n">
        <f aca="false">IF(K$5="A",IF(Project_Register!$F$8=0,0,(Project_Register!$O$8+SUM(Inputs_Actuals!$E$151:K$151))/Project_Register!$F$8),IF(Assumptions!K$201&lt;Project_Register!$I$8,0,MIN(1,IF((Project_Register!$U$8+Project_Register!$V$8)=0,0,(K36+K49)/(Project_Register!$U$8+Project_Register!$V$8)))))</f>
        <v>1</v>
      </c>
      <c r="L62" s="64" t="n">
        <f aca="false">IF(L$5="A",IF(Project_Register!$F$8=0,0,(Project_Register!$O$8+SUM(Inputs_Actuals!$E$151:L$151))/Project_Register!$F$8),IF(Assumptions!L$201&lt;Project_Register!$I$8,0,MIN(1,IF((Project_Register!$U$8+Project_Register!$V$8)=0,0,(L36+L49)/(Project_Register!$U$8+Project_Register!$V$8)))))</f>
        <v>1</v>
      </c>
      <c r="M62" s="64" t="n">
        <f aca="false">IF(M$5="A",IF(Project_Register!$F$8=0,0,(Project_Register!$O$8+SUM(Inputs_Actuals!$E$151:M$151))/Project_Register!$F$8),IF(Assumptions!M$201&lt;Project_Register!$I$8,0,MIN(1,IF((Project_Register!$U$8+Project_Register!$V$8)=0,0,(M36+M49)/(Project_Register!$U$8+Project_Register!$V$8)))))</f>
        <v>1</v>
      </c>
      <c r="N62" s="64" t="n">
        <f aca="false">IF(N$5="A",IF(Project_Register!$F$8=0,0,(Project_Register!$O$8+SUM(Inputs_Actuals!$E$151:N$151))/Project_Register!$F$8),IF(Assumptions!N$201&lt;Project_Register!$I$8,0,MIN(1,IF((Project_Register!$U$8+Project_Register!$V$8)=0,0,(N36+N49)/(Project_Register!$U$8+Project_Register!$V$8)))))</f>
        <v>1</v>
      </c>
      <c r="O62" s="64" t="n">
        <f aca="false">IF(O$5="A",IF(Project_Register!$F$8=0,0,(Project_Register!$O$8+SUM(Inputs_Actuals!$E$151:O$151))/Project_Register!$F$8),IF(Assumptions!O$201&lt;Project_Register!$I$8,0,MIN(1,IF((Project_Register!$U$8+Project_Register!$V$8)=0,0,(O36+O49)/(Project_Register!$U$8+Project_Register!$V$8)))))</f>
        <v>1</v>
      </c>
      <c r="P62" s="64" t="n">
        <f aca="false">IF(P$5="A",IF(Project_Register!$F$8=0,0,(Project_Register!$O$8+SUM(Inputs_Actuals!$E$151:P$151))/Project_Register!$F$8),IF(Assumptions!P$201&lt;Project_Register!$I$8,0,MIN(1,IF((Project_Register!$U$8+Project_Register!$V$8)=0,0,(P36+P49)/(Project_Register!$U$8+Project_Register!$V$8)))))</f>
        <v>1</v>
      </c>
      <c r="Q62" s="64" t="n">
        <f aca="false">IF(Q$5="A",IF(Project_Register!$F$8=0,0,(Project_Register!$O$8+SUM(Inputs_Actuals!$E$151:Q$151))/Project_Register!$F$8),IF(Assumptions!Q$201&lt;Project_Register!$I$8,0,MIN(1,IF((Project_Register!$U$8+Project_Register!$V$8)=0,0,(Q36+Q49)/(Project_Register!$U$8+Project_Register!$V$8)))))</f>
        <v>1</v>
      </c>
      <c r="R62" s="64" t="n">
        <f aca="false">IF(R$5="A",IF(Project_Register!$F$8=0,0,(Project_Register!$O$8+SUM(Inputs_Actuals!$E$151:R$151))/Project_Register!$F$8),IF(Assumptions!R$201&lt;Project_Register!$I$8,0,MIN(1,IF((Project_Register!$U$8+Project_Register!$V$8)=0,0,(R36+R49)/(Project_Register!$U$8+Project_Register!$V$8)))))</f>
        <v>1</v>
      </c>
      <c r="S62" s="64" t="n">
        <f aca="false">IF(S$5="A",IF(Project_Register!$F$8=0,0,(Project_Register!$O$8+SUM(Inputs_Actuals!$E$151:S$151))/Project_Register!$F$8),IF(Assumptions!S$201&lt;Project_Register!$I$8,0,MIN(1,IF((Project_Register!$U$8+Project_Register!$V$8)=0,0,(S36+S49)/(Project_Register!$U$8+Project_Register!$V$8)))))</f>
        <v>1</v>
      </c>
      <c r="T62" s="64" t="n">
        <f aca="false">IF(T$5="A",IF(Project_Register!$F$8=0,0,(Project_Register!$O$8+SUM(Inputs_Actuals!$E$151:T$151))/Project_Register!$F$8),IF(Assumptions!T$201&lt;Project_Register!$I$8,0,MIN(1,IF((Project_Register!$U$8+Project_Register!$V$8)=0,0,(T36+T49)/(Project_Register!$U$8+Project_Register!$V$8)))))</f>
        <v>1</v>
      </c>
      <c r="U62" s="64" t="n">
        <f aca="false">IF(U$5="A",IF(Project_Register!$F$8=0,0,(Project_Register!$O$8+SUM(Inputs_Actuals!$E$151:U$151))/Project_Register!$F$8),IF(Assumptions!U$201&lt;Project_Register!$I$8,0,MIN(1,IF((Project_Register!$U$8+Project_Register!$V$8)=0,0,(U36+U49)/(Project_Register!$U$8+Project_Register!$V$8)))))</f>
        <v>1</v>
      </c>
      <c r="V62" s="64" t="n">
        <f aca="false">IF(V$5="A",IF(Project_Register!$F$8=0,0,(Project_Register!$O$8+SUM(Inputs_Actuals!$E$151:V$151))/Project_Register!$F$8),IF(Assumptions!V$201&lt;Project_Register!$I$8,0,MIN(1,IF((Project_Register!$U$8+Project_Register!$V$8)=0,0,(V36+V49)/(Project_Register!$U$8+Project_Register!$V$8)))))</f>
        <v>1</v>
      </c>
      <c r="W62" s="64" t="n">
        <f aca="false">IF(W$5="A",IF(Project_Register!$F$8=0,0,(Project_Register!$O$8+SUM(Inputs_Actuals!$E$151:W$151))/Project_Register!$F$8),IF(Assumptions!W$201&lt;Project_Register!$I$8,0,MIN(1,IF((Project_Register!$U$8+Project_Register!$V$8)=0,0,(W36+W49)/(Project_Register!$U$8+Project_Register!$V$8)))))</f>
        <v>1</v>
      </c>
      <c r="X62" s="64" t="n">
        <f aca="false">IF(X$5="A",IF(Project_Register!$F$8=0,0,(Project_Register!$O$8+SUM(Inputs_Actuals!$E$151:X$151))/Project_Register!$F$8),IF(Assumptions!X$201&lt;Project_Register!$I$8,0,MIN(1,IF((Project_Register!$U$8+Project_Register!$V$8)=0,0,(X36+X49)/(Project_Register!$U$8+Project_Register!$V$8)))))</f>
        <v>1</v>
      </c>
      <c r="Y62" s="64" t="n">
        <f aca="false">IF(Y$5="A",IF(Project_Register!$F$8=0,0,(Project_Register!$O$8+SUM(Inputs_Actuals!$E$151:Y$151))/Project_Register!$F$8),IF(Assumptions!Y$201&lt;Project_Register!$I$8,0,MIN(1,IF((Project_Register!$U$8+Project_Register!$V$8)=0,0,(Y36+Y49)/(Project_Register!$U$8+Project_Register!$V$8)))))</f>
        <v>1</v>
      </c>
      <c r="Z62" s="64" t="n">
        <f aca="false">IF(Z$5="A",IF(Project_Register!$F$8=0,0,(Project_Register!$O$8+SUM(Inputs_Actuals!$E$151:Z$151))/Project_Register!$F$8),IF(Assumptions!Z$201&lt;Project_Register!$I$8,0,MIN(1,IF((Project_Register!$U$8+Project_Register!$V$8)=0,0,(Z36+Z49)/(Project_Register!$U$8+Project_Register!$V$8)))))</f>
        <v>1</v>
      </c>
      <c r="AA62" s="64" t="n">
        <f aca="false">IF(AA$5="A",IF(Project_Register!$F$8=0,0,(Project_Register!$O$8+SUM(Inputs_Actuals!$E$151:AA$151))/Project_Register!$F$8),IF(Assumptions!AA$201&lt;Project_Register!$I$8,0,MIN(1,IF((Project_Register!$U$8+Project_Register!$V$8)=0,0,(AA36+AA49)/(Project_Register!$U$8+Project_Register!$V$8)))))</f>
        <v>1</v>
      </c>
      <c r="AB62" s="64" t="n">
        <f aca="false">IF(AB$5="A",IF(Project_Register!$F$8=0,0,(Project_Register!$O$8+SUM(Inputs_Actuals!$E$151:AB$151))/Project_Register!$F$8),IF(Assumptions!AB$201&lt;Project_Register!$I$8,0,MIN(1,IF((Project_Register!$U$8+Project_Register!$V$8)=0,0,(AB36+AB49)/(Project_Register!$U$8+Project_Register!$V$8)))))</f>
        <v>1</v>
      </c>
    </row>
    <row r="63" customFormat="false" ht="15" hidden="false" customHeight="false" outlineLevel="0" collapsed="false">
      <c r="A63" s="27" t="s">
        <v>942</v>
      </c>
      <c r="B63" s="63"/>
      <c r="C63" s="65" t="n">
        <f aca="false">P63</f>
        <v>1</v>
      </c>
      <c r="D63" s="65" t="n">
        <f aca="false">AB63</f>
        <v>1</v>
      </c>
      <c r="E63" s="64" t="n">
        <f aca="false">IF(E$5="A",IF(Project_Register!$F$9=0,0,(Project_Register!$O$9+SUM(Inputs_Actuals!$E$154:E$154))/Project_Register!$F$9),IF(Assumptions!E$201&lt;Project_Register!$I$9,0,MIN(1,IF((Project_Register!$U$9+Project_Register!$V$9)=0,0,(E37+E50)/(Project_Register!$U$9+Project_Register!$V$9)))))</f>
        <v>0</v>
      </c>
      <c r="F63" s="64" t="n">
        <f aca="false">IF(F$5="A",IF(Project_Register!$F$9=0,0,(Project_Register!$O$9+SUM(Inputs_Actuals!$E$154:F$154))/Project_Register!$F$9),IF(Assumptions!F$201&lt;Project_Register!$I$9,0,MIN(1,IF((Project_Register!$U$9+Project_Register!$V$9)=0,0,(F37+F50)/(Project_Register!$U$9+Project_Register!$V$9)))))</f>
        <v>0</v>
      </c>
      <c r="G63" s="64" t="n">
        <f aca="false">IF(G$5="A",IF(Project_Register!$F$9=0,0,(Project_Register!$O$9+SUM(Inputs_Actuals!$E$154:G$154))/Project_Register!$F$9),IF(Assumptions!G$201&lt;Project_Register!$I$9,0,MIN(1,IF((Project_Register!$U$9+Project_Register!$V$9)=0,0,(G37+G50)/(Project_Register!$U$9+Project_Register!$V$9)))))</f>
        <v>0.171875</v>
      </c>
      <c r="H63" s="64" t="n">
        <f aca="false">IF(H$5="A",IF(Project_Register!$F$9=0,0,(Project_Register!$O$9+SUM(Inputs_Actuals!$E$154:H$154))/Project_Register!$F$9),IF(Assumptions!H$201&lt;Project_Register!$I$9,0,MIN(1,IF((Project_Register!$U$9+Project_Register!$V$9)=0,0,(H37+H50)/(Project_Register!$U$9+Project_Register!$V$9)))))</f>
        <v>0.40625</v>
      </c>
      <c r="I63" s="64" t="n">
        <f aca="false">IF(I$5="A",IF(Project_Register!$F$9=0,0,(Project_Register!$O$9+SUM(Inputs_Actuals!$E$154:I$154))/Project_Register!$F$9),IF(Assumptions!I$201&lt;Project_Register!$I$9,0,MIN(1,IF((Project_Register!$U$9+Project_Register!$V$9)=0,0,(I37+I50)/(Project_Register!$U$9+Project_Register!$V$9)))))</f>
        <v>0.640625</v>
      </c>
      <c r="J63" s="64" t="n">
        <f aca="false">IF(J$5="A",IF(Project_Register!$F$9=0,0,(Project_Register!$O$9+SUM(Inputs_Actuals!$E$154:J$154))/Project_Register!$F$9),IF(Assumptions!J$201&lt;Project_Register!$I$9,0,MIN(1,IF((Project_Register!$U$9+Project_Register!$V$9)=0,0,(J37+J50)/(Project_Register!$U$9+Project_Register!$V$9)))))</f>
        <v>0.859375</v>
      </c>
      <c r="K63" s="64" t="n">
        <f aca="false">IF(K$5="A",IF(Project_Register!$F$9=0,0,(Project_Register!$O$9+SUM(Inputs_Actuals!$E$154:K$154))/Project_Register!$F$9),IF(Assumptions!K$201&lt;Project_Register!$I$9,0,MIN(1,IF((Project_Register!$U$9+Project_Register!$V$9)=0,0,(K37+K50)/(Project_Register!$U$9+Project_Register!$V$9)))))</f>
        <v>1</v>
      </c>
      <c r="L63" s="64" t="n">
        <f aca="false">IF(L$5="A",IF(Project_Register!$F$9=0,0,(Project_Register!$O$9+SUM(Inputs_Actuals!$E$154:L$154))/Project_Register!$F$9),IF(Assumptions!L$201&lt;Project_Register!$I$9,0,MIN(1,IF((Project_Register!$U$9+Project_Register!$V$9)=0,0,(L37+L50)/(Project_Register!$U$9+Project_Register!$V$9)))))</f>
        <v>1</v>
      </c>
      <c r="M63" s="64" t="n">
        <f aca="false">IF(M$5="A",IF(Project_Register!$F$9=0,0,(Project_Register!$O$9+SUM(Inputs_Actuals!$E$154:M$154))/Project_Register!$F$9),IF(Assumptions!M$201&lt;Project_Register!$I$9,0,MIN(1,IF((Project_Register!$U$9+Project_Register!$V$9)=0,0,(M37+M50)/(Project_Register!$U$9+Project_Register!$V$9)))))</f>
        <v>1</v>
      </c>
      <c r="N63" s="64" t="n">
        <f aca="false">IF(N$5="A",IF(Project_Register!$F$9=0,0,(Project_Register!$O$9+SUM(Inputs_Actuals!$E$154:N$154))/Project_Register!$F$9),IF(Assumptions!N$201&lt;Project_Register!$I$9,0,MIN(1,IF((Project_Register!$U$9+Project_Register!$V$9)=0,0,(N37+N50)/(Project_Register!$U$9+Project_Register!$V$9)))))</f>
        <v>1</v>
      </c>
      <c r="O63" s="64" t="n">
        <f aca="false">IF(O$5="A",IF(Project_Register!$F$9=0,0,(Project_Register!$O$9+SUM(Inputs_Actuals!$E$154:O$154))/Project_Register!$F$9),IF(Assumptions!O$201&lt;Project_Register!$I$9,0,MIN(1,IF((Project_Register!$U$9+Project_Register!$V$9)=0,0,(O37+O50)/(Project_Register!$U$9+Project_Register!$V$9)))))</f>
        <v>1</v>
      </c>
      <c r="P63" s="64" t="n">
        <f aca="false">IF(P$5="A",IF(Project_Register!$F$9=0,0,(Project_Register!$O$9+SUM(Inputs_Actuals!$E$154:P$154))/Project_Register!$F$9),IF(Assumptions!P$201&lt;Project_Register!$I$9,0,MIN(1,IF((Project_Register!$U$9+Project_Register!$V$9)=0,0,(P37+P50)/(Project_Register!$U$9+Project_Register!$V$9)))))</f>
        <v>1</v>
      </c>
      <c r="Q63" s="64" t="n">
        <f aca="false">IF(Q$5="A",IF(Project_Register!$F$9=0,0,(Project_Register!$O$9+SUM(Inputs_Actuals!$E$154:Q$154))/Project_Register!$F$9),IF(Assumptions!Q$201&lt;Project_Register!$I$9,0,MIN(1,IF((Project_Register!$U$9+Project_Register!$V$9)=0,0,(Q37+Q50)/(Project_Register!$U$9+Project_Register!$V$9)))))</f>
        <v>1</v>
      </c>
      <c r="R63" s="64" t="n">
        <f aca="false">IF(R$5="A",IF(Project_Register!$F$9=0,0,(Project_Register!$O$9+SUM(Inputs_Actuals!$E$154:R$154))/Project_Register!$F$9),IF(Assumptions!R$201&lt;Project_Register!$I$9,0,MIN(1,IF((Project_Register!$U$9+Project_Register!$V$9)=0,0,(R37+R50)/(Project_Register!$U$9+Project_Register!$V$9)))))</f>
        <v>1</v>
      </c>
      <c r="S63" s="64" t="n">
        <f aca="false">IF(S$5="A",IF(Project_Register!$F$9=0,0,(Project_Register!$O$9+SUM(Inputs_Actuals!$E$154:S$154))/Project_Register!$F$9),IF(Assumptions!S$201&lt;Project_Register!$I$9,0,MIN(1,IF((Project_Register!$U$9+Project_Register!$V$9)=0,0,(S37+S50)/(Project_Register!$U$9+Project_Register!$V$9)))))</f>
        <v>1</v>
      </c>
      <c r="T63" s="64" t="n">
        <f aca="false">IF(T$5="A",IF(Project_Register!$F$9=0,0,(Project_Register!$O$9+SUM(Inputs_Actuals!$E$154:T$154))/Project_Register!$F$9),IF(Assumptions!T$201&lt;Project_Register!$I$9,0,MIN(1,IF((Project_Register!$U$9+Project_Register!$V$9)=0,0,(T37+T50)/(Project_Register!$U$9+Project_Register!$V$9)))))</f>
        <v>1</v>
      </c>
      <c r="U63" s="64" t="n">
        <f aca="false">IF(U$5="A",IF(Project_Register!$F$9=0,0,(Project_Register!$O$9+SUM(Inputs_Actuals!$E$154:U$154))/Project_Register!$F$9),IF(Assumptions!U$201&lt;Project_Register!$I$9,0,MIN(1,IF((Project_Register!$U$9+Project_Register!$V$9)=0,0,(U37+U50)/(Project_Register!$U$9+Project_Register!$V$9)))))</f>
        <v>1</v>
      </c>
      <c r="V63" s="64" t="n">
        <f aca="false">IF(V$5="A",IF(Project_Register!$F$9=0,0,(Project_Register!$O$9+SUM(Inputs_Actuals!$E$154:V$154))/Project_Register!$F$9),IF(Assumptions!V$201&lt;Project_Register!$I$9,0,MIN(1,IF((Project_Register!$U$9+Project_Register!$V$9)=0,0,(V37+V50)/(Project_Register!$U$9+Project_Register!$V$9)))))</f>
        <v>1</v>
      </c>
      <c r="W63" s="64" t="n">
        <f aca="false">IF(W$5="A",IF(Project_Register!$F$9=0,0,(Project_Register!$O$9+SUM(Inputs_Actuals!$E$154:W$154))/Project_Register!$F$9),IF(Assumptions!W$201&lt;Project_Register!$I$9,0,MIN(1,IF((Project_Register!$U$9+Project_Register!$V$9)=0,0,(W37+W50)/(Project_Register!$U$9+Project_Register!$V$9)))))</f>
        <v>1</v>
      </c>
      <c r="X63" s="64" t="n">
        <f aca="false">IF(X$5="A",IF(Project_Register!$F$9=0,0,(Project_Register!$O$9+SUM(Inputs_Actuals!$E$154:X$154))/Project_Register!$F$9),IF(Assumptions!X$201&lt;Project_Register!$I$9,0,MIN(1,IF((Project_Register!$U$9+Project_Register!$V$9)=0,0,(X37+X50)/(Project_Register!$U$9+Project_Register!$V$9)))))</f>
        <v>1</v>
      </c>
      <c r="Y63" s="64" t="n">
        <f aca="false">IF(Y$5="A",IF(Project_Register!$F$9=0,0,(Project_Register!$O$9+SUM(Inputs_Actuals!$E$154:Y$154))/Project_Register!$F$9),IF(Assumptions!Y$201&lt;Project_Register!$I$9,0,MIN(1,IF((Project_Register!$U$9+Project_Register!$V$9)=0,0,(Y37+Y50)/(Project_Register!$U$9+Project_Register!$V$9)))))</f>
        <v>1</v>
      </c>
      <c r="Z63" s="64" t="n">
        <f aca="false">IF(Z$5="A",IF(Project_Register!$F$9=0,0,(Project_Register!$O$9+SUM(Inputs_Actuals!$E$154:Z$154))/Project_Register!$F$9),IF(Assumptions!Z$201&lt;Project_Register!$I$9,0,MIN(1,IF((Project_Register!$U$9+Project_Register!$V$9)=0,0,(Z37+Z50)/(Project_Register!$U$9+Project_Register!$V$9)))))</f>
        <v>1</v>
      </c>
      <c r="AA63" s="64" t="n">
        <f aca="false">IF(AA$5="A",IF(Project_Register!$F$9=0,0,(Project_Register!$O$9+SUM(Inputs_Actuals!$E$154:AA$154))/Project_Register!$F$9),IF(Assumptions!AA$201&lt;Project_Register!$I$9,0,MIN(1,IF((Project_Register!$U$9+Project_Register!$V$9)=0,0,(AA37+AA50)/(Project_Register!$U$9+Project_Register!$V$9)))))</f>
        <v>1</v>
      </c>
      <c r="AB63" s="64" t="n">
        <f aca="false">IF(AB$5="A",IF(Project_Register!$F$9=0,0,(Project_Register!$O$9+SUM(Inputs_Actuals!$E$154:AB$154))/Project_Register!$F$9),IF(Assumptions!AB$201&lt;Project_Register!$I$9,0,MIN(1,IF((Project_Register!$U$9+Project_Register!$V$9)=0,0,(AB37+AB50)/(Project_Register!$U$9+Project_Register!$V$9)))))</f>
        <v>1</v>
      </c>
    </row>
    <row r="64" customFormat="false" ht="15" hidden="false" customHeight="false" outlineLevel="0" collapsed="false">
      <c r="A64" s="27" t="s">
        <v>943</v>
      </c>
      <c r="B64" s="63"/>
      <c r="C64" s="65" t="n">
        <f aca="false">P64</f>
        <v>1</v>
      </c>
      <c r="D64" s="65" t="n">
        <f aca="false">AB64</f>
        <v>1</v>
      </c>
      <c r="E64" s="64" t="n">
        <f aca="false">MIN(1,IF((Project_Register!$U$10+Project_Register!$V$10)=0,0,(E38+E51)/(Project_Register!$U$10+Project_Register!$V$10)))</f>
        <v>0</v>
      </c>
      <c r="F64" s="64" t="n">
        <f aca="false">MIN(1,IF((Project_Register!$U$10+Project_Register!$V$10)=0,0,(F38+F51)/(Project_Register!$U$10+Project_Register!$V$10)))</f>
        <v>0.107954545454545</v>
      </c>
      <c r="G64" s="64" t="n">
        <f aca="false">MIN(1,IF((Project_Register!$U$10+Project_Register!$V$10)=0,0,(G38+G51)/(Project_Register!$U$10+Project_Register!$V$10)))</f>
        <v>0.242045454545455</v>
      </c>
      <c r="H64" s="64" t="n">
        <f aca="false">MIN(1,IF((Project_Register!$U$10+Project_Register!$V$10)=0,0,(H38+H51)/(Project_Register!$U$10+Project_Register!$V$10)))</f>
        <v>0.369318181818182</v>
      </c>
      <c r="I64" s="64" t="n">
        <f aca="false">MIN(1,IF((Project_Register!$U$10+Project_Register!$V$10)=0,0,(I38+I51)/(Project_Register!$U$10+Project_Register!$V$10)))</f>
        <v>0.494318181818182</v>
      </c>
      <c r="J64" s="64" t="n">
        <f aca="false">MIN(1,IF((Project_Register!$U$10+Project_Register!$V$10)=0,0,(J38+J51)/(Project_Register!$U$10+Project_Register!$V$10)))</f>
        <v>0.626136363636364</v>
      </c>
      <c r="K64" s="64" t="n">
        <f aca="false">MIN(1,IF((Project_Register!$U$10+Project_Register!$V$10)=0,0,(K38+K51)/(Project_Register!$U$10+Project_Register!$V$10)))</f>
        <v>0.744318181818182</v>
      </c>
      <c r="L64" s="64" t="n">
        <f aca="false">MIN(1,IF((Project_Register!$U$10+Project_Register!$V$10)=0,0,(L38+L51)/(Project_Register!$U$10+Project_Register!$V$10)))</f>
        <v>0.826136363636364</v>
      </c>
      <c r="M64" s="64" t="n">
        <f aca="false">MIN(1,IF((Project_Register!$U$10+Project_Register!$V$10)=0,0,(M38+M51)/(Project_Register!$U$10+Project_Register!$V$10)))</f>
        <v>1</v>
      </c>
      <c r="N64" s="64" t="n">
        <f aca="false">MIN(1,IF((Project_Register!$U$10+Project_Register!$V$10)=0,0,(N38+N51)/(Project_Register!$U$10+Project_Register!$V$10)))</f>
        <v>1</v>
      </c>
      <c r="O64" s="64" t="n">
        <f aca="false">MIN(1,IF((Project_Register!$U$10+Project_Register!$V$10)=0,0,(O38+O51)/(Project_Register!$U$10+Project_Register!$V$10)))</f>
        <v>1</v>
      </c>
      <c r="P64" s="64" t="n">
        <f aca="false">MIN(1,IF((Project_Register!$U$10+Project_Register!$V$10)=0,0,(P38+P51)/(Project_Register!$U$10+Project_Register!$V$10)))</f>
        <v>1</v>
      </c>
      <c r="Q64" s="64" t="n">
        <f aca="false">MIN(1,IF((Project_Register!$U$10+Project_Register!$V$10)=0,0,(Q38+Q51)/(Project_Register!$U$10+Project_Register!$V$10)))</f>
        <v>1</v>
      </c>
      <c r="R64" s="64" t="n">
        <f aca="false">MIN(1,IF((Project_Register!$U$10+Project_Register!$V$10)=0,0,(R38+R51)/(Project_Register!$U$10+Project_Register!$V$10)))</f>
        <v>1</v>
      </c>
      <c r="S64" s="64" t="n">
        <f aca="false">MIN(1,IF((Project_Register!$U$10+Project_Register!$V$10)=0,0,(S38+S51)/(Project_Register!$U$10+Project_Register!$V$10)))</f>
        <v>1</v>
      </c>
      <c r="T64" s="64" t="n">
        <f aca="false">MIN(1,IF((Project_Register!$U$10+Project_Register!$V$10)=0,0,(T38+T51)/(Project_Register!$U$10+Project_Register!$V$10)))</f>
        <v>1</v>
      </c>
      <c r="U64" s="64" t="n">
        <f aca="false">MIN(1,IF((Project_Register!$U$10+Project_Register!$V$10)=0,0,(U38+U51)/(Project_Register!$U$10+Project_Register!$V$10)))</f>
        <v>1</v>
      </c>
      <c r="V64" s="64" t="n">
        <f aca="false">MIN(1,IF((Project_Register!$U$10+Project_Register!$V$10)=0,0,(V38+V51)/(Project_Register!$U$10+Project_Register!$V$10)))</f>
        <v>1</v>
      </c>
      <c r="W64" s="64" t="n">
        <f aca="false">MIN(1,IF((Project_Register!$U$10+Project_Register!$V$10)=0,0,(W38+W51)/(Project_Register!$U$10+Project_Register!$V$10)))</f>
        <v>1</v>
      </c>
      <c r="X64" s="64" t="n">
        <f aca="false">MIN(1,IF((Project_Register!$U$10+Project_Register!$V$10)=0,0,(X38+X51)/(Project_Register!$U$10+Project_Register!$V$10)))</f>
        <v>1</v>
      </c>
      <c r="Y64" s="64" t="n">
        <f aca="false">MIN(1,IF((Project_Register!$U$10+Project_Register!$V$10)=0,0,(Y38+Y51)/(Project_Register!$U$10+Project_Register!$V$10)))</f>
        <v>1</v>
      </c>
      <c r="Z64" s="64" t="n">
        <f aca="false">MIN(1,IF((Project_Register!$U$10+Project_Register!$V$10)=0,0,(Z38+Z51)/(Project_Register!$U$10+Project_Register!$V$10)))</f>
        <v>1</v>
      </c>
      <c r="AA64" s="64" t="n">
        <f aca="false">MIN(1,IF((Project_Register!$U$10+Project_Register!$V$10)=0,0,(AA38+AA51)/(Project_Register!$U$10+Project_Register!$V$10)))</f>
        <v>1</v>
      </c>
      <c r="AB64" s="64" t="n">
        <f aca="false">MIN(1,IF((Project_Register!$U$10+Project_Register!$V$10)=0,0,(AB38+AB51)/(Project_Register!$U$10+Project_Register!$V$10)))</f>
        <v>1</v>
      </c>
    </row>
    <row r="65" customFormat="false" ht="15" hidden="false" customHeight="false" outlineLevel="0" collapsed="false">
      <c r="A65" s="27" t="s">
        <v>944</v>
      </c>
      <c r="B65" s="63"/>
      <c r="C65" s="65" t="n">
        <f aca="false">P65</f>
        <v>1</v>
      </c>
      <c r="D65" s="65" t="n">
        <f aca="false">AB65</f>
        <v>1</v>
      </c>
      <c r="E65" s="64" t="n">
        <f aca="false">MIN(1,IF((Project_Register!$U$11+Project_Register!$V$11)=0,0,(E39+E52)/(Project_Register!$U$11+Project_Register!$V$11)))</f>
        <v>0.0785714285714286</v>
      </c>
      <c r="F65" s="64" t="n">
        <f aca="false">MIN(1,IF((Project_Register!$U$11+Project_Register!$V$11)=0,0,(F39+F52)/(Project_Register!$U$11+Project_Register!$V$11)))</f>
        <v>0.161904761904762</v>
      </c>
      <c r="G65" s="64" t="n">
        <f aca="false">MIN(1,IF((Project_Register!$U$11+Project_Register!$V$11)=0,0,(G39+G52)/(Project_Register!$U$11+Project_Register!$V$11)))</f>
        <v>0.248809523809524</v>
      </c>
      <c r="H65" s="64" t="n">
        <f aca="false">MIN(1,IF((Project_Register!$U$11+Project_Register!$V$11)=0,0,(H39+H52)/(Project_Register!$U$11+Project_Register!$V$11)))</f>
        <v>0.330952380952381</v>
      </c>
      <c r="I65" s="64" t="n">
        <f aca="false">MIN(1,IF((Project_Register!$U$11+Project_Register!$V$11)=0,0,(I39+I52)/(Project_Register!$U$11+Project_Register!$V$11)))</f>
        <v>0.415476190476191</v>
      </c>
      <c r="J65" s="64" t="n">
        <f aca="false">MIN(1,IF((Project_Register!$U$11+Project_Register!$V$11)=0,0,(J39+J52)/(Project_Register!$U$11+Project_Register!$V$11)))</f>
        <v>0.501190476190476</v>
      </c>
      <c r="K65" s="64" t="n">
        <f aca="false">MIN(1,IF((Project_Register!$U$11+Project_Register!$V$11)=0,0,(K39+K52)/(Project_Register!$U$11+Project_Register!$V$11)))</f>
        <v>0.582142857142857</v>
      </c>
      <c r="L65" s="64" t="n">
        <f aca="false">MIN(1,IF((Project_Register!$U$11+Project_Register!$V$11)=0,0,(L39+L52)/(Project_Register!$U$11+Project_Register!$V$11)))</f>
        <v>0.639285714285714</v>
      </c>
      <c r="M65" s="64" t="n">
        <f aca="false">MIN(1,IF((Project_Register!$U$11+Project_Register!$V$11)=0,0,(M39+M52)/(Project_Register!$U$11+Project_Register!$V$11)))</f>
        <v>0.729464285714286</v>
      </c>
      <c r="N65" s="64" t="n">
        <f aca="false">MIN(1,IF((Project_Register!$U$11+Project_Register!$V$11)=0,0,(N39+N52)/(Project_Register!$U$11+Project_Register!$V$11)))</f>
        <v>0.819642857142857</v>
      </c>
      <c r="O65" s="64" t="n">
        <f aca="false">MIN(1,IF((Project_Register!$U$11+Project_Register!$V$11)=0,0,(O39+O52)/(Project_Register!$U$11+Project_Register!$V$11)))</f>
        <v>0.909821428571429</v>
      </c>
      <c r="P65" s="64" t="n">
        <f aca="false">MIN(1,IF((Project_Register!$U$11+Project_Register!$V$11)=0,0,(P39+P52)/(Project_Register!$U$11+Project_Register!$V$11)))</f>
        <v>1</v>
      </c>
      <c r="Q65" s="64" t="n">
        <f aca="false">MIN(1,IF((Project_Register!$U$11+Project_Register!$V$11)=0,0,(Q39+Q52)/(Project_Register!$U$11+Project_Register!$V$11)))</f>
        <v>1</v>
      </c>
      <c r="R65" s="64" t="n">
        <f aca="false">MIN(1,IF((Project_Register!$U$11+Project_Register!$V$11)=0,0,(R39+R52)/(Project_Register!$U$11+Project_Register!$V$11)))</f>
        <v>1</v>
      </c>
      <c r="S65" s="64" t="n">
        <f aca="false">MIN(1,IF((Project_Register!$U$11+Project_Register!$V$11)=0,0,(S39+S52)/(Project_Register!$U$11+Project_Register!$V$11)))</f>
        <v>1</v>
      </c>
      <c r="T65" s="64" t="n">
        <f aca="false">MIN(1,IF((Project_Register!$U$11+Project_Register!$V$11)=0,0,(T39+T52)/(Project_Register!$U$11+Project_Register!$V$11)))</f>
        <v>1</v>
      </c>
      <c r="U65" s="64" t="n">
        <f aca="false">MIN(1,IF((Project_Register!$U$11+Project_Register!$V$11)=0,0,(U39+U52)/(Project_Register!$U$11+Project_Register!$V$11)))</f>
        <v>1</v>
      </c>
      <c r="V65" s="64" t="n">
        <f aca="false">MIN(1,IF((Project_Register!$U$11+Project_Register!$V$11)=0,0,(V39+V52)/(Project_Register!$U$11+Project_Register!$V$11)))</f>
        <v>1</v>
      </c>
      <c r="W65" s="64" t="n">
        <f aca="false">MIN(1,IF((Project_Register!$U$11+Project_Register!$V$11)=0,0,(W39+W52)/(Project_Register!$U$11+Project_Register!$V$11)))</f>
        <v>1</v>
      </c>
      <c r="X65" s="64" t="n">
        <f aca="false">MIN(1,IF((Project_Register!$U$11+Project_Register!$V$11)=0,0,(X39+X52)/(Project_Register!$U$11+Project_Register!$V$11)))</f>
        <v>1</v>
      </c>
      <c r="Y65" s="64" t="n">
        <f aca="false">MIN(1,IF((Project_Register!$U$11+Project_Register!$V$11)=0,0,(Y39+Y52)/(Project_Register!$U$11+Project_Register!$V$11)))</f>
        <v>1</v>
      </c>
      <c r="Z65" s="64" t="n">
        <f aca="false">MIN(1,IF((Project_Register!$U$11+Project_Register!$V$11)=0,0,(Z39+Z52)/(Project_Register!$U$11+Project_Register!$V$11)))</f>
        <v>1</v>
      </c>
      <c r="AA65" s="64" t="n">
        <f aca="false">MIN(1,IF((Project_Register!$U$11+Project_Register!$V$11)=0,0,(AA39+AA52)/(Project_Register!$U$11+Project_Register!$V$11)))</f>
        <v>1</v>
      </c>
      <c r="AB65" s="64" t="n">
        <f aca="false">MIN(1,IF((Project_Register!$U$11+Project_Register!$V$11)=0,0,(AB39+AB52)/(Project_Register!$U$11+Project_Register!$V$11)))</f>
        <v>1</v>
      </c>
    </row>
    <row r="66" customFormat="false" ht="15" hidden="false" customHeight="false" outlineLevel="0" collapsed="false">
      <c r="A66" s="27" t="s">
        <v>945</v>
      </c>
      <c r="B66" s="63"/>
      <c r="C66" s="65" t="n">
        <f aca="false">P66</f>
        <v>1</v>
      </c>
      <c r="D66" s="65" t="n">
        <f aca="false">AB66</f>
        <v>1</v>
      </c>
      <c r="E66" s="64" t="n">
        <f aca="false">IF(E$5="A",IF(Project_Register!$F$12=0,0,(Project_Register!$O$12+SUM(Inputs_Actuals!$E$163:E$163))/Project_Register!$F$12),IF(Assumptions!E$201&lt;Project_Register!$I$12,0,MIN(1,IF((Project_Register!$U$12+Project_Register!$V$12)=0,0,(E40+E53)/(Project_Register!$U$12+Project_Register!$V$12)))))</f>
        <v>0</v>
      </c>
      <c r="F66" s="64" t="n">
        <f aca="false">IF(F$5="A",IF(Project_Register!$F$12=0,0,(Project_Register!$O$12+SUM(Inputs_Actuals!$E$163:F$163))/Project_Register!$F$12),IF(Assumptions!F$201&lt;Project_Register!$I$12,0,MIN(1,IF((Project_Register!$U$12+Project_Register!$V$12)=0,0,(F40+F53)/(Project_Register!$U$12+Project_Register!$V$12)))))</f>
        <v>0</v>
      </c>
      <c r="G66" s="64" t="n">
        <f aca="false">IF(G$5="A",IF(Project_Register!$F$12=0,0,(Project_Register!$O$12+SUM(Inputs_Actuals!$E$163:G$163))/Project_Register!$F$12),IF(Assumptions!G$201&lt;Project_Register!$I$12,0,MIN(1,IF((Project_Register!$U$12+Project_Register!$V$12)=0,0,(G40+G53)/(Project_Register!$U$12+Project_Register!$V$12)))))</f>
        <v>0.3</v>
      </c>
      <c r="H66" s="64" t="n">
        <f aca="false">IF(H$5="A",IF(Project_Register!$F$12=0,0,(Project_Register!$O$12+SUM(Inputs_Actuals!$E$163:H$163))/Project_Register!$F$12),IF(Assumptions!H$201&lt;Project_Register!$I$12,0,MIN(1,IF((Project_Register!$U$12+Project_Register!$V$12)=0,0,(H40+H53)/(Project_Register!$U$12+Project_Register!$V$12)))))</f>
        <v>0.7</v>
      </c>
      <c r="I66" s="64" t="n">
        <f aca="false">IF(I$5="A",IF(Project_Register!$F$12=0,0,(Project_Register!$O$12+SUM(Inputs_Actuals!$E$163:I$163))/Project_Register!$F$12),IF(Assumptions!I$201&lt;Project_Register!$I$12,0,MIN(1,IF((Project_Register!$U$12+Project_Register!$V$12)=0,0,(I40+I53)/(Project_Register!$U$12+Project_Register!$V$12)))))</f>
        <v>1</v>
      </c>
      <c r="J66" s="64" t="n">
        <f aca="false">IF(J$5="A",IF(Project_Register!$F$12=0,0,(Project_Register!$O$12+SUM(Inputs_Actuals!$E$163:J$163))/Project_Register!$F$12),IF(Assumptions!J$201&lt;Project_Register!$I$12,0,MIN(1,IF((Project_Register!$U$12+Project_Register!$V$12)=0,0,(J40+J53)/(Project_Register!$U$12+Project_Register!$V$12)))))</f>
        <v>1</v>
      </c>
      <c r="K66" s="64" t="n">
        <f aca="false">IF(K$5="A",IF(Project_Register!$F$12=0,0,(Project_Register!$O$12+SUM(Inputs_Actuals!$E$163:K$163))/Project_Register!$F$12),IF(Assumptions!K$201&lt;Project_Register!$I$12,0,MIN(1,IF((Project_Register!$U$12+Project_Register!$V$12)=0,0,(K40+K53)/(Project_Register!$U$12+Project_Register!$V$12)))))</f>
        <v>1</v>
      </c>
      <c r="L66" s="64" t="n">
        <f aca="false">IF(L$5="A",IF(Project_Register!$F$12=0,0,(Project_Register!$O$12+SUM(Inputs_Actuals!$E$163:L$163))/Project_Register!$F$12),IF(Assumptions!L$201&lt;Project_Register!$I$12,0,MIN(1,IF((Project_Register!$U$12+Project_Register!$V$12)=0,0,(L40+L53)/(Project_Register!$U$12+Project_Register!$V$12)))))</f>
        <v>1</v>
      </c>
      <c r="M66" s="64" t="n">
        <f aca="false">IF(M$5="A",IF(Project_Register!$F$12=0,0,(Project_Register!$O$12+SUM(Inputs_Actuals!$E$163:M$163))/Project_Register!$F$12),IF(Assumptions!M$201&lt;Project_Register!$I$12,0,MIN(1,IF((Project_Register!$U$12+Project_Register!$V$12)=0,0,(M40+M53)/(Project_Register!$U$12+Project_Register!$V$12)))))</f>
        <v>1</v>
      </c>
      <c r="N66" s="64" t="n">
        <f aca="false">IF(N$5="A",IF(Project_Register!$F$12=0,0,(Project_Register!$O$12+SUM(Inputs_Actuals!$E$163:N$163))/Project_Register!$F$12),IF(Assumptions!N$201&lt;Project_Register!$I$12,0,MIN(1,IF((Project_Register!$U$12+Project_Register!$V$12)=0,0,(N40+N53)/(Project_Register!$U$12+Project_Register!$V$12)))))</f>
        <v>1</v>
      </c>
      <c r="O66" s="64" t="n">
        <f aca="false">IF(O$5="A",IF(Project_Register!$F$12=0,0,(Project_Register!$O$12+SUM(Inputs_Actuals!$E$163:O$163))/Project_Register!$F$12),IF(Assumptions!O$201&lt;Project_Register!$I$12,0,MIN(1,IF((Project_Register!$U$12+Project_Register!$V$12)=0,0,(O40+O53)/(Project_Register!$U$12+Project_Register!$V$12)))))</f>
        <v>1</v>
      </c>
      <c r="P66" s="64" t="n">
        <f aca="false">IF(P$5="A",IF(Project_Register!$F$12=0,0,(Project_Register!$O$12+SUM(Inputs_Actuals!$E$163:P$163))/Project_Register!$F$12),IF(Assumptions!P$201&lt;Project_Register!$I$12,0,MIN(1,IF((Project_Register!$U$12+Project_Register!$V$12)=0,0,(P40+P53)/(Project_Register!$U$12+Project_Register!$V$12)))))</f>
        <v>1</v>
      </c>
      <c r="Q66" s="64" t="n">
        <f aca="false">IF(Q$5="A",IF(Project_Register!$F$12=0,0,(Project_Register!$O$12+SUM(Inputs_Actuals!$E$163:Q$163))/Project_Register!$F$12),IF(Assumptions!Q$201&lt;Project_Register!$I$12,0,MIN(1,IF((Project_Register!$U$12+Project_Register!$V$12)=0,0,(Q40+Q53)/(Project_Register!$U$12+Project_Register!$V$12)))))</f>
        <v>1</v>
      </c>
      <c r="R66" s="64" t="n">
        <f aca="false">IF(R$5="A",IF(Project_Register!$F$12=0,0,(Project_Register!$O$12+SUM(Inputs_Actuals!$E$163:R$163))/Project_Register!$F$12),IF(Assumptions!R$201&lt;Project_Register!$I$12,0,MIN(1,IF((Project_Register!$U$12+Project_Register!$V$12)=0,0,(R40+R53)/(Project_Register!$U$12+Project_Register!$V$12)))))</f>
        <v>1</v>
      </c>
      <c r="S66" s="64" t="n">
        <f aca="false">IF(S$5="A",IF(Project_Register!$F$12=0,0,(Project_Register!$O$12+SUM(Inputs_Actuals!$E$163:S$163))/Project_Register!$F$12),IF(Assumptions!S$201&lt;Project_Register!$I$12,0,MIN(1,IF((Project_Register!$U$12+Project_Register!$V$12)=0,0,(S40+S53)/(Project_Register!$U$12+Project_Register!$V$12)))))</f>
        <v>1</v>
      </c>
      <c r="T66" s="64" t="n">
        <f aca="false">IF(T$5="A",IF(Project_Register!$F$12=0,0,(Project_Register!$O$12+SUM(Inputs_Actuals!$E$163:T$163))/Project_Register!$F$12),IF(Assumptions!T$201&lt;Project_Register!$I$12,0,MIN(1,IF((Project_Register!$U$12+Project_Register!$V$12)=0,0,(T40+T53)/(Project_Register!$U$12+Project_Register!$V$12)))))</f>
        <v>1</v>
      </c>
      <c r="U66" s="64" t="n">
        <f aca="false">IF(U$5="A",IF(Project_Register!$F$12=0,0,(Project_Register!$O$12+SUM(Inputs_Actuals!$E$163:U$163))/Project_Register!$F$12),IF(Assumptions!U$201&lt;Project_Register!$I$12,0,MIN(1,IF((Project_Register!$U$12+Project_Register!$V$12)=0,0,(U40+U53)/(Project_Register!$U$12+Project_Register!$V$12)))))</f>
        <v>1</v>
      </c>
      <c r="V66" s="64" t="n">
        <f aca="false">IF(V$5="A",IF(Project_Register!$F$12=0,0,(Project_Register!$O$12+SUM(Inputs_Actuals!$E$163:V$163))/Project_Register!$F$12),IF(Assumptions!V$201&lt;Project_Register!$I$12,0,MIN(1,IF((Project_Register!$U$12+Project_Register!$V$12)=0,0,(V40+V53)/(Project_Register!$U$12+Project_Register!$V$12)))))</f>
        <v>1</v>
      </c>
      <c r="W66" s="64" t="n">
        <f aca="false">IF(W$5="A",IF(Project_Register!$F$12=0,0,(Project_Register!$O$12+SUM(Inputs_Actuals!$E$163:W$163))/Project_Register!$F$12),IF(Assumptions!W$201&lt;Project_Register!$I$12,0,MIN(1,IF((Project_Register!$U$12+Project_Register!$V$12)=0,0,(W40+W53)/(Project_Register!$U$12+Project_Register!$V$12)))))</f>
        <v>1</v>
      </c>
      <c r="X66" s="64" t="n">
        <f aca="false">IF(X$5="A",IF(Project_Register!$F$12=0,0,(Project_Register!$O$12+SUM(Inputs_Actuals!$E$163:X$163))/Project_Register!$F$12),IF(Assumptions!X$201&lt;Project_Register!$I$12,0,MIN(1,IF((Project_Register!$U$12+Project_Register!$V$12)=0,0,(X40+X53)/(Project_Register!$U$12+Project_Register!$V$12)))))</f>
        <v>1</v>
      </c>
      <c r="Y66" s="64" t="n">
        <f aca="false">IF(Y$5="A",IF(Project_Register!$F$12=0,0,(Project_Register!$O$12+SUM(Inputs_Actuals!$E$163:Y$163))/Project_Register!$F$12),IF(Assumptions!Y$201&lt;Project_Register!$I$12,0,MIN(1,IF((Project_Register!$U$12+Project_Register!$V$12)=0,0,(Y40+Y53)/(Project_Register!$U$12+Project_Register!$V$12)))))</f>
        <v>1</v>
      </c>
      <c r="Z66" s="64" t="n">
        <f aca="false">IF(Z$5="A",IF(Project_Register!$F$12=0,0,(Project_Register!$O$12+SUM(Inputs_Actuals!$E$163:Z$163))/Project_Register!$F$12),IF(Assumptions!Z$201&lt;Project_Register!$I$12,0,MIN(1,IF((Project_Register!$U$12+Project_Register!$V$12)=0,0,(Z40+Z53)/(Project_Register!$U$12+Project_Register!$V$12)))))</f>
        <v>1</v>
      </c>
      <c r="AA66" s="64" t="n">
        <f aca="false">IF(AA$5="A",IF(Project_Register!$F$12=0,0,(Project_Register!$O$12+SUM(Inputs_Actuals!$E$163:AA$163))/Project_Register!$F$12),IF(Assumptions!AA$201&lt;Project_Register!$I$12,0,MIN(1,IF((Project_Register!$U$12+Project_Register!$V$12)=0,0,(AA40+AA53)/(Project_Register!$U$12+Project_Register!$V$12)))))</f>
        <v>1</v>
      </c>
      <c r="AB66" s="64" t="n">
        <f aca="false">IF(AB$5="A",IF(Project_Register!$F$12=0,0,(Project_Register!$O$12+SUM(Inputs_Actuals!$E$163:AB$163))/Project_Register!$F$12),IF(Assumptions!AB$201&lt;Project_Register!$I$12,0,MIN(1,IF((Project_Register!$U$12+Project_Register!$V$12)=0,0,(AB40+AB53)/(Project_Register!$U$12+Project_Register!$V$12)))))</f>
        <v>1</v>
      </c>
    </row>
    <row r="67" customFormat="false" ht="15" hidden="false" customHeight="false" outlineLevel="0" collapsed="false">
      <c r="A67" s="27" t="s">
        <v>946</v>
      </c>
      <c r="B67" s="63"/>
      <c r="C67" s="65" t="n">
        <f aca="false">P67</f>
        <v>1</v>
      </c>
      <c r="D67" s="65" t="n">
        <f aca="false">AB67</f>
        <v>1</v>
      </c>
      <c r="E67" s="64" t="n">
        <f aca="false">IF(E$5="A",IF(Project_Register!$F$13=0,0,(Project_Register!$O$13+SUM(Inputs_Actuals!$E$166:E$166))/Project_Register!$F$13),IF(Assumptions!E$201&lt;Project_Register!$I$13,0,MIN(1,IF((Project_Register!$U$13+Project_Register!$V$13)=0,0,(E41+E54)/(Project_Register!$U$13+Project_Register!$V$13)))))</f>
        <v>0</v>
      </c>
      <c r="F67" s="64" t="n">
        <f aca="false">IF(F$5="A",IF(Project_Register!$F$13=0,0,(Project_Register!$O$13+SUM(Inputs_Actuals!$E$166:F$166))/Project_Register!$F$13),IF(Assumptions!F$201&lt;Project_Register!$I$13,0,MIN(1,IF((Project_Register!$U$13+Project_Register!$V$13)=0,0,(F41+F54)/(Project_Register!$U$13+Project_Register!$V$13)))))</f>
        <v>0</v>
      </c>
      <c r="G67" s="64" t="n">
        <f aca="false">IF(G$5="A",IF(Project_Register!$F$13=0,0,(Project_Register!$O$13+SUM(Inputs_Actuals!$E$166:G$166))/Project_Register!$F$13),IF(Assumptions!G$201&lt;Project_Register!$I$13,0,MIN(1,IF((Project_Register!$U$13+Project_Register!$V$13)=0,0,(G41+G54)/(Project_Register!$U$13+Project_Register!$V$13)))))</f>
        <v>0</v>
      </c>
      <c r="H67" s="64" t="n">
        <f aca="false">IF(H$5="A",IF(Project_Register!$F$13=0,0,(Project_Register!$O$13+SUM(Inputs_Actuals!$E$166:H$166))/Project_Register!$F$13),IF(Assumptions!H$201&lt;Project_Register!$I$13,0,MIN(1,IF((Project_Register!$U$13+Project_Register!$V$13)=0,0,(H41+H54)/(Project_Register!$U$13+Project_Register!$V$13)))))</f>
        <v>0</v>
      </c>
      <c r="I67" s="64" t="n">
        <f aca="false">IF(I$5="A",IF(Project_Register!$F$13=0,0,(Project_Register!$O$13+SUM(Inputs_Actuals!$E$166:I$166))/Project_Register!$F$13),IF(Assumptions!I$201&lt;Project_Register!$I$13,0,MIN(1,IF((Project_Register!$U$13+Project_Register!$V$13)=0,0,(I41+I54)/(Project_Register!$U$13+Project_Register!$V$13)))))</f>
        <v>0</v>
      </c>
      <c r="J67" s="64" t="n">
        <f aca="false">IF(J$5="A",IF(Project_Register!$F$13=0,0,(Project_Register!$O$13+SUM(Inputs_Actuals!$E$166:J$166))/Project_Register!$F$13),IF(Assumptions!J$201&lt;Project_Register!$I$13,0,MIN(1,IF((Project_Register!$U$13+Project_Register!$V$13)=0,0,(J41+J54)/(Project_Register!$U$13+Project_Register!$V$13)))))</f>
        <v>0.202127631578947</v>
      </c>
      <c r="K67" s="64" t="n">
        <f aca="false">IF(K$5="A",IF(Project_Register!$F$13=0,0,(Project_Register!$O$13+SUM(Inputs_Actuals!$E$166:K$166))/Project_Register!$F$13),IF(Assumptions!K$201&lt;Project_Register!$I$13,0,MIN(1,IF((Project_Register!$U$13+Project_Register!$V$13)=0,0,(K41+K54)/(Project_Register!$U$13+Project_Register!$V$13)))))</f>
        <v>0.478723421052632</v>
      </c>
      <c r="L67" s="64" t="n">
        <f aca="false">IF(L$5="A",IF(Project_Register!$F$13=0,0,(Project_Register!$O$13+SUM(Inputs_Actuals!$E$166:L$166))/Project_Register!$F$13),IF(Assumptions!L$201&lt;Project_Register!$I$13,0,MIN(1,IF((Project_Register!$U$13+Project_Register!$V$13)=0,0,(L41+L54)/(Project_Register!$U$13+Project_Register!$V$13)))))</f>
        <v>0.659574473684211</v>
      </c>
      <c r="M67" s="64" t="n">
        <f aca="false">IF(M$5="A",IF(Project_Register!$F$13=0,0,(Project_Register!$O$13+SUM(Inputs_Actuals!$E$166:M$166))/Project_Register!$F$13),IF(Assumptions!M$201&lt;Project_Register!$I$13,0,MIN(1,IF((Project_Register!$U$13+Project_Register!$V$13)=0,0,(M41+M54)/(Project_Register!$U$13+Project_Register!$V$13)))))</f>
        <v>1</v>
      </c>
      <c r="N67" s="64" t="n">
        <f aca="false">IF(N$5="A",IF(Project_Register!$F$13=0,0,(Project_Register!$O$13+SUM(Inputs_Actuals!$E$166:N$166))/Project_Register!$F$13),IF(Assumptions!N$201&lt;Project_Register!$I$13,0,MIN(1,IF((Project_Register!$U$13+Project_Register!$V$13)=0,0,(N41+N54)/(Project_Register!$U$13+Project_Register!$V$13)))))</f>
        <v>1</v>
      </c>
      <c r="O67" s="64" t="n">
        <f aca="false">IF(O$5="A",IF(Project_Register!$F$13=0,0,(Project_Register!$O$13+SUM(Inputs_Actuals!$E$166:O$166))/Project_Register!$F$13),IF(Assumptions!O$201&lt;Project_Register!$I$13,0,MIN(1,IF((Project_Register!$U$13+Project_Register!$V$13)=0,0,(O41+O54)/(Project_Register!$U$13+Project_Register!$V$13)))))</f>
        <v>1</v>
      </c>
      <c r="P67" s="64" t="n">
        <f aca="false">IF(P$5="A",IF(Project_Register!$F$13=0,0,(Project_Register!$O$13+SUM(Inputs_Actuals!$E$166:P$166))/Project_Register!$F$13),IF(Assumptions!P$201&lt;Project_Register!$I$13,0,MIN(1,IF((Project_Register!$U$13+Project_Register!$V$13)=0,0,(P41+P54)/(Project_Register!$U$13+Project_Register!$V$13)))))</f>
        <v>1</v>
      </c>
      <c r="Q67" s="64" t="n">
        <f aca="false">IF(Q$5="A",IF(Project_Register!$F$13=0,0,(Project_Register!$O$13+SUM(Inputs_Actuals!$E$166:Q$166))/Project_Register!$F$13),IF(Assumptions!Q$201&lt;Project_Register!$I$13,0,MIN(1,IF((Project_Register!$U$13+Project_Register!$V$13)=0,0,(Q41+Q54)/(Project_Register!$U$13+Project_Register!$V$13)))))</f>
        <v>1</v>
      </c>
      <c r="R67" s="64" t="n">
        <f aca="false">IF(R$5="A",IF(Project_Register!$F$13=0,0,(Project_Register!$O$13+SUM(Inputs_Actuals!$E$166:R$166))/Project_Register!$F$13),IF(Assumptions!R$201&lt;Project_Register!$I$13,0,MIN(1,IF((Project_Register!$U$13+Project_Register!$V$13)=0,0,(R41+R54)/(Project_Register!$U$13+Project_Register!$V$13)))))</f>
        <v>1</v>
      </c>
      <c r="S67" s="64" t="n">
        <f aca="false">IF(S$5="A",IF(Project_Register!$F$13=0,0,(Project_Register!$O$13+SUM(Inputs_Actuals!$E$166:S$166))/Project_Register!$F$13),IF(Assumptions!S$201&lt;Project_Register!$I$13,0,MIN(1,IF((Project_Register!$U$13+Project_Register!$V$13)=0,0,(S41+S54)/(Project_Register!$U$13+Project_Register!$V$13)))))</f>
        <v>1</v>
      </c>
      <c r="T67" s="64" t="n">
        <f aca="false">IF(T$5="A",IF(Project_Register!$F$13=0,0,(Project_Register!$O$13+SUM(Inputs_Actuals!$E$166:T$166))/Project_Register!$F$13),IF(Assumptions!T$201&lt;Project_Register!$I$13,0,MIN(1,IF((Project_Register!$U$13+Project_Register!$V$13)=0,0,(T41+T54)/(Project_Register!$U$13+Project_Register!$V$13)))))</f>
        <v>1</v>
      </c>
      <c r="U67" s="64" t="n">
        <f aca="false">IF(U$5="A",IF(Project_Register!$F$13=0,0,(Project_Register!$O$13+SUM(Inputs_Actuals!$E$166:U$166))/Project_Register!$F$13),IF(Assumptions!U$201&lt;Project_Register!$I$13,0,MIN(1,IF((Project_Register!$U$13+Project_Register!$V$13)=0,0,(U41+U54)/(Project_Register!$U$13+Project_Register!$V$13)))))</f>
        <v>1</v>
      </c>
      <c r="V67" s="64" t="n">
        <f aca="false">IF(V$5="A",IF(Project_Register!$F$13=0,0,(Project_Register!$O$13+SUM(Inputs_Actuals!$E$166:V$166))/Project_Register!$F$13),IF(Assumptions!V$201&lt;Project_Register!$I$13,0,MIN(1,IF((Project_Register!$U$13+Project_Register!$V$13)=0,0,(V41+V54)/(Project_Register!$U$13+Project_Register!$V$13)))))</f>
        <v>1</v>
      </c>
      <c r="W67" s="64" t="n">
        <f aca="false">IF(W$5="A",IF(Project_Register!$F$13=0,0,(Project_Register!$O$13+SUM(Inputs_Actuals!$E$166:W$166))/Project_Register!$F$13),IF(Assumptions!W$201&lt;Project_Register!$I$13,0,MIN(1,IF((Project_Register!$U$13+Project_Register!$V$13)=0,0,(W41+W54)/(Project_Register!$U$13+Project_Register!$V$13)))))</f>
        <v>1</v>
      </c>
      <c r="X67" s="64" t="n">
        <f aca="false">IF(X$5="A",IF(Project_Register!$F$13=0,0,(Project_Register!$O$13+SUM(Inputs_Actuals!$E$166:X$166))/Project_Register!$F$13),IF(Assumptions!X$201&lt;Project_Register!$I$13,0,MIN(1,IF((Project_Register!$U$13+Project_Register!$V$13)=0,0,(X41+X54)/(Project_Register!$U$13+Project_Register!$V$13)))))</f>
        <v>1</v>
      </c>
      <c r="Y67" s="64" t="n">
        <f aca="false">IF(Y$5="A",IF(Project_Register!$F$13=0,0,(Project_Register!$O$13+SUM(Inputs_Actuals!$E$166:Y$166))/Project_Register!$F$13),IF(Assumptions!Y$201&lt;Project_Register!$I$13,0,MIN(1,IF((Project_Register!$U$13+Project_Register!$V$13)=0,0,(Y41+Y54)/(Project_Register!$U$13+Project_Register!$V$13)))))</f>
        <v>1</v>
      </c>
      <c r="Z67" s="64" t="n">
        <f aca="false">IF(Z$5="A",IF(Project_Register!$F$13=0,0,(Project_Register!$O$13+SUM(Inputs_Actuals!$E$166:Z$166))/Project_Register!$F$13),IF(Assumptions!Z$201&lt;Project_Register!$I$13,0,MIN(1,IF((Project_Register!$U$13+Project_Register!$V$13)=0,0,(Z41+Z54)/(Project_Register!$U$13+Project_Register!$V$13)))))</f>
        <v>1</v>
      </c>
      <c r="AA67" s="64" t="n">
        <f aca="false">IF(AA$5="A",IF(Project_Register!$F$13=0,0,(Project_Register!$O$13+SUM(Inputs_Actuals!$E$166:AA$166))/Project_Register!$F$13),IF(Assumptions!AA$201&lt;Project_Register!$I$13,0,MIN(1,IF((Project_Register!$U$13+Project_Register!$V$13)=0,0,(AA41+AA54)/(Project_Register!$U$13+Project_Register!$V$13)))))</f>
        <v>1</v>
      </c>
      <c r="AB67" s="64" t="n">
        <f aca="false">IF(AB$5="A",IF(Project_Register!$F$13=0,0,(Project_Register!$O$13+SUM(Inputs_Actuals!$E$166:AB$166))/Project_Register!$F$13),IF(Assumptions!AB$201&lt;Project_Register!$I$13,0,MIN(1,IF((Project_Register!$U$13+Project_Register!$V$13)=0,0,(AB41+AB54)/(Project_Register!$U$13+Project_Register!$V$13)))))</f>
        <v>1</v>
      </c>
    </row>
    <row r="68" customFormat="false" ht="15" hidden="false" customHeight="false" outlineLevel="0" collapsed="false">
      <c r="A68" s="27" t="s">
        <v>947</v>
      </c>
      <c r="B68" s="63"/>
      <c r="C68" s="65" t="n">
        <f aca="false">P68</f>
        <v>0.8</v>
      </c>
      <c r="D68" s="65" t="n">
        <f aca="false">AB68</f>
        <v>1</v>
      </c>
      <c r="E68" s="64" t="n">
        <f aca="false">IF(E$5="A",IF(Project_Register!$F$14=0,0,(Project_Register!$O$14+SUM(Inputs_Actuals!$E$169:E$169))/Project_Register!$F$14),IF(Assumptions!E$201&lt;Project_Register!$I$14,0,MIN(1,IF((Project_Register!$U$14+Project_Register!$V$14)=0,0,(E42+E55)/(Project_Register!$U$14+Project_Register!$V$14)))))</f>
        <v>0</v>
      </c>
      <c r="F68" s="64" t="n">
        <f aca="false">IF(F$5="A",IF(Project_Register!$F$14=0,0,(Project_Register!$O$14+SUM(Inputs_Actuals!$E$169:F$169))/Project_Register!$F$14),IF(Assumptions!F$201&lt;Project_Register!$I$14,0,MIN(1,IF((Project_Register!$U$14+Project_Register!$V$14)=0,0,(F42+F55)/(Project_Register!$U$14+Project_Register!$V$14)))))</f>
        <v>0</v>
      </c>
      <c r="G68" s="64" t="n">
        <f aca="false">IF(G$5="A",IF(Project_Register!$F$14=0,0,(Project_Register!$O$14+SUM(Inputs_Actuals!$E$169:G$169))/Project_Register!$F$14),IF(Assumptions!G$201&lt;Project_Register!$I$14,0,MIN(1,IF((Project_Register!$U$14+Project_Register!$V$14)=0,0,(G42+G55)/(Project_Register!$U$14+Project_Register!$V$14)))))</f>
        <v>0</v>
      </c>
      <c r="H68" s="64" t="n">
        <f aca="false">IF(H$5="A",IF(Project_Register!$F$14=0,0,(Project_Register!$O$14+SUM(Inputs_Actuals!$E$169:H$169))/Project_Register!$F$14),IF(Assumptions!H$201&lt;Project_Register!$I$14,0,MIN(1,IF((Project_Register!$U$14+Project_Register!$V$14)=0,0,(H42+H55)/(Project_Register!$U$14+Project_Register!$V$14)))))</f>
        <v>0</v>
      </c>
      <c r="I68" s="64" t="n">
        <f aca="false">IF(I$5="A",IF(Project_Register!$F$14=0,0,(Project_Register!$O$14+SUM(Inputs_Actuals!$E$169:I$169))/Project_Register!$F$14),IF(Assumptions!I$201&lt;Project_Register!$I$14,0,MIN(1,IF((Project_Register!$U$14+Project_Register!$V$14)=0,0,(I42+I55)/(Project_Register!$U$14+Project_Register!$V$14)))))</f>
        <v>0</v>
      </c>
      <c r="J68" s="64" t="n">
        <f aca="false">IF(J$5="A",IF(Project_Register!$F$14=0,0,(Project_Register!$O$14+SUM(Inputs_Actuals!$E$169:J$169))/Project_Register!$F$14),IF(Assumptions!J$201&lt;Project_Register!$I$14,0,MIN(1,IF((Project_Register!$U$14+Project_Register!$V$14)=0,0,(J42+J55)/(Project_Register!$U$14+Project_Register!$V$14)))))</f>
        <v>0</v>
      </c>
      <c r="K68" s="64" t="n">
        <f aca="false">IF(K$5="A",IF(Project_Register!$F$14=0,0,(Project_Register!$O$14+SUM(Inputs_Actuals!$E$169:K$169))/Project_Register!$F$14),IF(Assumptions!K$201&lt;Project_Register!$I$14,0,MIN(1,IF((Project_Register!$U$14+Project_Register!$V$14)=0,0,(K42+K55)/(Project_Register!$U$14+Project_Register!$V$14)))))</f>
        <v>0</v>
      </c>
      <c r="L68" s="64" t="n">
        <f aca="false">IF(L$5="A",IF(Project_Register!$F$14=0,0,(Project_Register!$O$14+SUM(Inputs_Actuals!$E$169:L$169))/Project_Register!$F$14),IF(Assumptions!L$201&lt;Project_Register!$I$14,0,MIN(1,IF((Project_Register!$U$14+Project_Register!$V$14)=0,0,(L42+L55)/(Project_Register!$U$14+Project_Register!$V$14)))))</f>
        <v>0</v>
      </c>
      <c r="M68" s="64" t="n">
        <f aca="false">IF(M$5="A",IF(Project_Register!$F$14=0,0,(Project_Register!$O$14+SUM(Inputs_Actuals!$E$169:M$169))/Project_Register!$F$14),IF(Assumptions!M$201&lt;Project_Register!$I$14,0,MIN(1,IF((Project_Register!$U$14+Project_Register!$V$14)=0,0,(M42+M55)/(Project_Register!$U$14+Project_Register!$V$14)))))</f>
        <v>0.2</v>
      </c>
      <c r="N68" s="64" t="n">
        <f aca="false">IF(N$5="A",IF(Project_Register!$F$14=0,0,(Project_Register!$O$14+SUM(Inputs_Actuals!$E$169:N$169))/Project_Register!$F$14),IF(Assumptions!N$201&lt;Project_Register!$I$14,0,MIN(1,IF((Project_Register!$U$14+Project_Register!$V$14)=0,0,(N42+N55)/(Project_Register!$U$14+Project_Register!$V$14)))))</f>
        <v>0.4</v>
      </c>
      <c r="O68" s="64" t="n">
        <f aca="false">IF(O$5="A",IF(Project_Register!$F$14=0,0,(Project_Register!$O$14+SUM(Inputs_Actuals!$E$169:O$169))/Project_Register!$F$14),IF(Assumptions!O$201&lt;Project_Register!$I$14,0,MIN(1,IF((Project_Register!$U$14+Project_Register!$V$14)=0,0,(O42+O55)/(Project_Register!$U$14+Project_Register!$V$14)))))</f>
        <v>0.6</v>
      </c>
      <c r="P68" s="64" t="n">
        <f aca="false">IF(P$5="A",IF(Project_Register!$F$14=0,0,(Project_Register!$O$14+SUM(Inputs_Actuals!$E$169:P$169))/Project_Register!$F$14),IF(Assumptions!P$201&lt;Project_Register!$I$14,0,MIN(1,IF((Project_Register!$U$14+Project_Register!$V$14)=0,0,(P42+P55)/(Project_Register!$U$14+Project_Register!$V$14)))))</f>
        <v>0.8</v>
      </c>
      <c r="Q68" s="64" t="n">
        <f aca="false">IF(Q$5="A",IF(Project_Register!$F$14=0,0,(Project_Register!$O$14+SUM(Inputs_Actuals!$E$169:Q$169))/Project_Register!$F$14),IF(Assumptions!Q$201&lt;Project_Register!$I$14,0,MIN(1,IF((Project_Register!$U$14+Project_Register!$V$14)=0,0,(Q42+Q55)/(Project_Register!$U$14+Project_Register!$V$14)))))</f>
        <v>1</v>
      </c>
      <c r="R68" s="64" t="n">
        <f aca="false">IF(R$5="A",IF(Project_Register!$F$14=0,0,(Project_Register!$O$14+SUM(Inputs_Actuals!$E$169:R$169))/Project_Register!$F$14),IF(Assumptions!R$201&lt;Project_Register!$I$14,0,MIN(1,IF((Project_Register!$U$14+Project_Register!$V$14)=0,0,(R42+R55)/(Project_Register!$U$14+Project_Register!$V$14)))))</f>
        <v>1</v>
      </c>
      <c r="S68" s="64" t="n">
        <f aca="false">IF(S$5="A",IF(Project_Register!$F$14=0,0,(Project_Register!$O$14+SUM(Inputs_Actuals!$E$169:S$169))/Project_Register!$F$14),IF(Assumptions!S$201&lt;Project_Register!$I$14,0,MIN(1,IF((Project_Register!$U$14+Project_Register!$V$14)=0,0,(S42+S55)/(Project_Register!$U$14+Project_Register!$V$14)))))</f>
        <v>1</v>
      </c>
      <c r="T68" s="64" t="n">
        <f aca="false">IF(T$5="A",IF(Project_Register!$F$14=0,0,(Project_Register!$O$14+SUM(Inputs_Actuals!$E$169:T$169))/Project_Register!$F$14),IF(Assumptions!T$201&lt;Project_Register!$I$14,0,MIN(1,IF((Project_Register!$U$14+Project_Register!$V$14)=0,0,(T42+T55)/(Project_Register!$U$14+Project_Register!$V$14)))))</f>
        <v>1</v>
      </c>
      <c r="U68" s="64" t="n">
        <f aca="false">IF(U$5="A",IF(Project_Register!$F$14=0,0,(Project_Register!$O$14+SUM(Inputs_Actuals!$E$169:U$169))/Project_Register!$F$14),IF(Assumptions!U$201&lt;Project_Register!$I$14,0,MIN(1,IF((Project_Register!$U$14+Project_Register!$V$14)=0,0,(U42+U55)/(Project_Register!$U$14+Project_Register!$V$14)))))</f>
        <v>1</v>
      </c>
      <c r="V68" s="64" t="n">
        <f aca="false">IF(V$5="A",IF(Project_Register!$F$14=0,0,(Project_Register!$O$14+SUM(Inputs_Actuals!$E$169:V$169))/Project_Register!$F$14),IF(Assumptions!V$201&lt;Project_Register!$I$14,0,MIN(1,IF((Project_Register!$U$14+Project_Register!$V$14)=0,0,(V42+V55)/(Project_Register!$U$14+Project_Register!$V$14)))))</f>
        <v>1</v>
      </c>
      <c r="W68" s="64" t="n">
        <f aca="false">IF(W$5="A",IF(Project_Register!$F$14=0,0,(Project_Register!$O$14+SUM(Inputs_Actuals!$E$169:W$169))/Project_Register!$F$14),IF(Assumptions!W$201&lt;Project_Register!$I$14,0,MIN(1,IF((Project_Register!$U$14+Project_Register!$V$14)=0,0,(W42+W55)/(Project_Register!$U$14+Project_Register!$V$14)))))</f>
        <v>1</v>
      </c>
      <c r="X68" s="64" t="n">
        <f aca="false">IF(X$5="A",IF(Project_Register!$F$14=0,0,(Project_Register!$O$14+SUM(Inputs_Actuals!$E$169:X$169))/Project_Register!$F$14),IF(Assumptions!X$201&lt;Project_Register!$I$14,0,MIN(1,IF((Project_Register!$U$14+Project_Register!$V$14)=0,0,(X42+X55)/(Project_Register!$U$14+Project_Register!$V$14)))))</f>
        <v>1</v>
      </c>
      <c r="Y68" s="64" t="n">
        <f aca="false">IF(Y$5="A",IF(Project_Register!$F$14=0,0,(Project_Register!$O$14+SUM(Inputs_Actuals!$E$169:Y$169))/Project_Register!$F$14),IF(Assumptions!Y$201&lt;Project_Register!$I$14,0,MIN(1,IF((Project_Register!$U$14+Project_Register!$V$14)=0,0,(Y42+Y55)/(Project_Register!$U$14+Project_Register!$V$14)))))</f>
        <v>1</v>
      </c>
      <c r="Z68" s="64" t="n">
        <f aca="false">IF(Z$5="A",IF(Project_Register!$F$14=0,0,(Project_Register!$O$14+SUM(Inputs_Actuals!$E$169:Z$169))/Project_Register!$F$14),IF(Assumptions!Z$201&lt;Project_Register!$I$14,0,MIN(1,IF((Project_Register!$U$14+Project_Register!$V$14)=0,0,(Z42+Z55)/(Project_Register!$U$14+Project_Register!$V$14)))))</f>
        <v>1</v>
      </c>
      <c r="AA68" s="64" t="n">
        <f aca="false">IF(AA$5="A",IF(Project_Register!$F$14=0,0,(Project_Register!$O$14+SUM(Inputs_Actuals!$E$169:AA$169))/Project_Register!$F$14),IF(Assumptions!AA$201&lt;Project_Register!$I$14,0,MIN(1,IF((Project_Register!$U$14+Project_Register!$V$14)=0,0,(AA42+AA55)/(Project_Register!$U$14+Project_Register!$V$14)))))</f>
        <v>1</v>
      </c>
      <c r="AB68" s="64" t="n">
        <f aca="false">IF(AB$5="A",IF(Project_Register!$F$14=0,0,(Project_Register!$O$14+SUM(Inputs_Actuals!$E$169:AB$169))/Project_Register!$F$14),IF(Assumptions!AB$201&lt;Project_Register!$I$14,0,MIN(1,IF((Project_Register!$U$14+Project_Register!$V$14)=0,0,(AB42+AB55)/(Project_Register!$U$14+Project_Register!$V$14)))))</f>
        <v>1</v>
      </c>
    </row>
    <row r="69" customFormat="false" ht="15" hidden="false" customHeight="false" outlineLevel="0" collapsed="false">
      <c r="A69" s="27" t="s">
        <v>948</v>
      </c>
      <c r="B69" s="63"/>
      <c r="C69" s="65" t="n">
        <f aca="false">P69</f>
        <v>1</v>
      </c>
      <c r="D69" s="65" t="n">
        <f aca="false">AB69</f>
        <v>1</v>
      </c>
      <c r="E69" s="64" t="n">
        <f aca="false">MIN(1,IF((Project_Register!$U$15+Project_Register!$V$15)=0,0,(E43+E56)/(Project_Register!$U$15+Project_Register!$V$15)))</f>
        <v>0.08125</v>
      </c>
      <c r="F69" s="64" t="n">
        <f aca="false">MIN(1,IF((Project_Register!$U$15+Project_Register!$V$15)=0,0,(F43+F56)/(Project_Register!$U$15+Project_Register!$V$15)))</f>
        <v>0.166666666666667</v>
      </c>
      <c r="G69" s="64" t="n">
        <f aca="false">MIN(1,IF((Project_Register!$U$15+Project_Register!$V$15)=0,0,(G43+G56)/(Project_Register!$U$15+Project_Register!$V$15)))</f>
        <v>0.25</v>
      </c>
      <c r="H69" s="64" t="n">
        <f aca="false">MIN(1,IF((Project_Register!$U$15+Project_Register!$V$15)=0,0,(H43+H56)/(Project_Register!$U$15+Project_Register!$V$15)))</f>
        <v>0.332291666666667</v>
      </c>
      <c r="I69" s="64" t="n">
        <f aca="false">MIN(1,IF((Project_Register!$U$15+Project_Register!$V$15)=0,0,(I43+I56)/(Project_Register!$U$15+Project_Register!$V$15)))</f>
        <v>0.416666666666667</v>
      </c>
      <c r="J69" s="64" t="n">
        <f aca="false">MIN(1,IF((Project_Register!$U$15+Project_Register!$V$15)=0,0,(J43+J56)/(Project_Register!$U$15+Project_Register!$V$15)))</f>
        <v>0.503125</v>
      </c>
      <c r="K69" s="64" t="n">
        <f aca="false">MIN(1,IF((Project_Register!$U$15+Project_Register!$V$15)=0,0,(K43+K56)/(Project_Register!$U$15+Project_Register!$V$15)))</f>
        <v>0.586458333333333</v>
      </c>
      <c r="L69" s="64" t="n">
        <f aca="false">MIN(1,IF((Project_Register!$U$15+Project_Register!$V$15)=0,0,(L43+L56)/(Project_Register!$U$15+Project_Register!$V$15)))</f>
        <v>0.646875</v>
      </c>
      <c r="M69" s="64" t="n">
        <f aca="false">MIN(1,IF((Project_Register!$U$15+Project_Register!$V$15)=0,0,(M43+M56)/(Project_Register!$U$15+Project_Register!$V$15)))</f>
        <v>0.73515625</v>
      </c>
      <c r="N69" s="64" t="n">
        <f aca="false">MIN(1,IF((Project_Register!$U$15+Project_Register!$V$15)=0,0,(N43+N56)/(Project_Register!$U$15+Project_Register!$V$15)))</f>
        <v>0.8234375</v>
      </c>
      <c r="O69" s="64" t="n">
        <f aca="false">MIN(1,IF((Project_Register!$U$15+Project_Register!$V$15)=0,0,(O43+O56)/(Project_Register!$U$15+Project_Register!$V$15)))</f>
        <v>0.91171875</v>
      </c>
      <c r="P69" s="64" t="n">
        <f aca="false">MIN(1,IF((Project_Register!$U$15+Project_Register!$V$15)=0,0,(P43+P56)/(Project_Register!$U$15+Project_Register!$V$15)))</f>
        <v>1</v>
      </c>
      <c r="Q69" s="64" t="n">
        <f aca="false">MIN(1,IF((Project_Register!$U$15+Project_Register!$V$15)=0,0,(Q43+Q56)/(Project_Register!$U$15+Project_Register!$V$15)))</f>
        <v>1</v>
      </c>
      <c r="R69" s="64" t="n">
        <f aca="false">MIN(1,IF((Project_Register!$U$15+Project_Register!$V$15)=0,0,(R43+R56)/(Project_Register!$U$15+Project_Register!$V$15)))</f>
        <v>1</v>
      </c>
      <c r="S69" s="64" t="n">
        <f aca="false">MIN(1,IF((Project_Register!$U$15+Project_Register!$V$15)=0,0,(S43+S56)/(Project_Register!$U$15+Project_Register!$V$15)))</f>
        <v>1</v>
      </c>
      <c r="T69" s="64" t="n">
        <f aca="false">MIN(1,IF((Project_Register!$U$15+Project_Register!$V$15)=0,0,(T43+T56)/(Project_Register!$U$15+Project_Register!$V$15)))</f>
        <v>1</v>
      </c>
      <c r="U69" s="64" t="n">
        <f aca="false">MIN(1,IF((Project_Register!$U$15+Project_Register!$V$15)=0,0,(U43+U56)/(Project_Register!$U$15+Project_Register!$V$15)))</f>
        <v>1</v>
      </c>
      <c r="V69" s="64" t="n">
        <f aca="false">MIN(1,IF((Project_Register!$U$15+Project_Register!$V$15)=0,0,(V43+V56)/(Project_Register!$U$15+Project_Register!$V$15)))</f>
        <v>1</v>
      </c>
      <c r="W69" s="64" t="n">
        <f aca="false">MIN(1,IF((Project_Register!$U$15+Project_Register!$V$15)=0,0,(W43+W56)/(Project_Register!$U$15+Project_Register!$V$15)))</f>
        <v>1</v>
      </c>
      <c r="X69" s="64" t="n">
        <f aca="false">MIN(1,IF((Project_Register!$U$15+Project_Register!$V$15)=0,0,(X43+X56)/(Project_Register!$U$15+Project_Register!$V$15)))</f>
        <v>1</v>
      </c>
      <c r="Y69" s="64" t="n">
        <f aca="false">MIN(1,IF((Project_Register!$U$15+Project_Register!$V$15)=0,0,(Y43+Y56)/(Project_Register!$U$15+Project_Register!$V$15)))</f>
        <v>1</v>
      </c>
      <c r="Z69" s="64" t="n">
        <f aca="false">MIN(1,IF((Project_Register!$U$15+Project_Register!$V$15)=0,0,(Z43+Z56)/(Project_Register!$U$15+Project_Register!$V$15)))</f>
        <v>1</v>
      </c>
      <c r="AA69" s="64" t="n">
        <f aca="false">MIN(1,IF((Project_Register!$U$15+Project_Register!$V$15)=0,0,(AA43+AA56)/(Project_Register!$U$15+Project_Register!$V$15)))</f>
        <v>1</v>
      </c>
      <c r="AB69" s="64" t="n">
        <f aca="false">MIN(1,IF((Project_Register!$U$15+Project_Register!$V$15)=0,0,(AB43+AB56)/(Project_Register!$U$15+Project_Register!$V$15)))</f>
        <v>1</v>
      </c>
    </row>
    <row r="70" customFormat="false" ht="15" hidden="false" customHeight="false" outlineLevel="0" collapsed="false">
      <c r="A70" s="27" t="s">
        <v>949</v>
      </c>
      <c r="B70" s="63"/>
      <c r="C70" s="65" t="n">
        <f aca="false">P70</f>
        <v>1</v>
      </c>
      <c r="D70" s="65" t="n">
        <f aca="false">AB70</f>
        <v>1</v>
      </c>
      <c r="E70" s="64" t="n">
        <f aca="false">IF(E$5="A",IF(Project_Register!$F$16=0,0,(Project_Register!$O$16+SUM(Inputs_Actuals!$E$175:E$175))/Project_Register!$F$16),IF(Assumptions!E$201&lt;Project_Register!$I$16,0,MIN(1,IF((Project_Register!$U$16+Project_Register!$V$16)=0,0,(E44+E57)/(Project_Register!$U$16+Project_Register!$V$16)))))</f>
        <v>0</v>
      </c>
      <c r="F70" s="64" t="n">
        <f aca="false">IF(F$5="A",IF(Project_Register!$F$16=0,0,(Project_Register!$O$16+SUM(Inputs_Actuals!$E$175:F$175))/Project_Register!$F$16),IF(Assumptions!F$201&lt;Project_Register!$I$16,0,MIN(1,IF((Project_Register!$U$16+Project_Register!$V$16)=0,0,(F44+F57)/(Project_Register!$U$16+Project_Register!$V$16)))))</f>
        <v>0</v>
      </c>
      <c r="G70" s="64" t="n">
        <f aca="false">IF(G$5="A",IF(Project_Register!$F$16=0,0,(Project_Register!$O$16+SUM(Inputs_Actuals!$E$175:G$175))/Project_Register!$F$16),IF(Assumptions!G$201&lt;Project_Register!$I$16,0,MIN(1,IF((Project_Register!$U$16+Project_Register!$V$16)=0,0,(G44+G57)/(Project_Register!$U$16+Project_Register!$V$16)))))</f>
        <v>0</v>
      </c>
      <c r="H70" s="64" t="n">
        <f aca="false">IF(H$5="A",IF(Project_Register!$F$16=0,0,(Project_Register!$O$16+SUM(Inputs_Actuals!$E$175:H$175))/Project_Register!$F$16),IF(Assumptions!H$201&lt;Project_Register!$I$16,0,MIN(1,IF((Project_Register!$U$16+Project_Register!$V$16)=0,0,(H44+H57)/(Project_Register!$U$16+Project_Register!$V$16)))))</f>
        <v>0</v>
      </c>
      <c r="I70" s="64" t="n">
        <f aca="false">IF(I$5="A",IF(Project_Register!$F$16=0,0,(Project_Register!$O$16+SUM(Inputs_Actuals!$E$175:I$175))/Project_Register!$F$16),IF(Assumptions!I$201&lt;Project_Register!$I$16,0,MIN(1,IF((Project_Register!$U$16+Project_Register!$V$16)=0,0,(I44+I57)/(Project_Register!$U$16+Project_Register!$V$16)))))</f>
        <v>0</v>
      </c>
      <c r="J70" s="64" t="n">
        <f aca="false">IF(J$5="A",IF(Project_Register!$F$16=0,0,(Project_Register!$O$16+SUM(Inputs_Actuals!$E$175:J$175))/Project_Register!$F$16),IF(Assumptions!J$201&lt;Project_Register!$I$16,0,MIN(1,IF((Project_Register!$U$16+Project_Register!$V$16)=0,0,(J44+J57)/(Project_Register!$U$16+Project_Register!$V$16)))))</f>
        <v>0</v>
      </c>
      <c r="K70" s="64" t="n">
        <f aca="false">IF(K$5="A",IF(Project_Register!$F$16=0,0,(Project_Register!$O$16+SUM(Inputs_Actuals!$E$175:K$175))/Project_Register!$F$16),IF(Assumptions!K$201&lt;Project_Register!$I$16,0,MIN(1,IF((Project_Register!$U$16+Project_Register!$V$16)=0,0,(K44+K57)/(Project_Register!$U$16+Project_Register!$V$16)))))</f>
        <v>0.288888888888889</v>
      </c>
      <c r="L70" s="64" t="n">
        <f aca="false">IF(L$5="A",IF(Project_Register!$F$16=0,0,(Project_Register!$O$16+SUM(Inputs_Actuals!$E$175:L$175))/Project_Register!$F$16),IF(Assumptions!L$201&lt;Project_Register!$I$16,0,MIN(1,IF((Project_Register!$U$16+Project_Register!$V$16)=0,0,(L44+L57)/(Project_Register!$U$16+Project_Register!$V$16)))))</f>
        <v>0.5</v>
      </c>
      <c r="M70" s="64" t="n">
        <f aca="false">IF(M$5="A",IF(Project_Register!$F$16=0,0,(Project_Register!$O$16+SUM(Inputs_Actuals!$E$175:M$175))/Project_Register!$F$16),IF(Assumptions!M$201&lt;Project_Register!$I$16,0,MIN(1,IF((Project_Register!$U$16+Project_Register!$V$16)=0,0,(M44+M57)/(Project_Register!$U$16+Project_Register!$V$16)))))</f>
        <v>1</v>
      </c>
      <c r="N70" s="64" t="n">
        <f aca="false">IF(N$5="A",IF(Project_Register!$F$16=0,0,(Project_Register!$O$16+SUM(Inputs_Actuals!$E$175:N$175))/Project_Register!$F$16),IF(Assumptions!N$201&lt;Project_Register!$I$16,0,MIN(1,IF((Project_Register!$U$16+Project_Register!$V$16)=0,0,(N44+N57)/(Project_Register!$U$16+Project_Register!$V$16)))))</f>
        <v>1</v>
      </c>
      <c r="O70" s="64" t="n">
        <f aca="false">IF(O$5="A",IF(Project_Register!$F$16=0,0,(Project_Register!$O$16+SUM(Inputs_Actuals!$E$175:O$175))/Project_Register!$F$16),IF(Assumptions!O$201&lt;Project_Register!$I$16,0,MIN(1,IF((Project_Register!$U$16+Project_Register!$V$16)=0,0,(O44+O57)/(Project_Register!$U$16+Project_Register!$V$16)))))</f>
        <v>1</v>
      </c>
      <c r="P70" s="64" t="n">
        <f aca="false">IF(P$5="A",IF(Project_Register!$F$16=0,0,(Project_Register!$O$16+SUM(Inputs_Actuals!$E$175:P$175))/Project_Register!$F$16),IF(Assumptions!P$201&lt;Project_Register!$I$16,0,MIN(1,IF((Project_Register!$U$16+Project_Register!$V$16)=0,0,(P44+P57)/(Project_Register!$U$16+Project_Register!$V$16)))))</f>
        <v>1</v>
      </c>
      <c r="Q70" s="64" t="n">
        <f aca="false">IF(Q$5="A",IF(Project_Register!$F$16=0,0,(Project_Register!$O$16+SUM(Inputs_Actuals!$E$175:Q$175))/Project_Register!$F$16),IF(Assumptions!Q$201&lt;Project_Register!$I$16,0,MIN(1,IF((Project_Register!$U$16+Project_Register!$V$16)=0,0,(Q44+Q57)/(Project_Register!$U$16+Project_Register!$V$16)))))</f>
        <v>1</v>
      </c>
      <c r="R70" s="64" t="n">
        <f aca="false">IF(R$5="A",IF(Project_Register!$F$16=0,0,(Project_Register!$O$16+SUM(Inputs_Actuals!$E$175:R$175))/Project_Register!$F$16),IF(Assumptions!R$201&lt;Project_Register!$I$16,0,MIN(1,IF((Project_Register!$U$16+Project_Register!$V$16)=0,0,(R44+R57)/(Project_Register!$U$16+Project_Register!$V$16)))))</f>
        <v>1</v>
      </c>
      <c r="S70" s="64" t="n">
        <f aca="false">IF(S$5="A",IF(Project_Register!$F$16=0,0,(Project_Register!$O$16+SUM(Inputs_Actuals!$E$175:S$175))/Project_Register!$F$16),IF(Assumptions!S$201&lt;Project_Register!$I$16,0,MIN(1,IF((Project_Register!$U$16+Project_Register!$V$16)=0,0,(S44+S57)/(Project_Register!$U$16+Project_Register!$V$16)))))</f>
        <v>1</v>
      </c>
      <c r="T70" s="64" t="n">
        <f aca="false">IF(T$5="A",IF(Project_Register!$F$16=0,0,(Project_Register!$O$16+SUM(Inputs_Actuals!$E$175:T$175))/Project_Register!$F$16),IF(Assumptions!T$201&lt;Project_Register!$I$16,0,MIN(1,IF((Project_Register!$U$16+Project_Register!$V$16)=0,0,(T44+T57)/(Project_Register!$U$16+Project_Register!$V$16)))))</f>
        <v>1</v>
      </c>
      <c r="U70" s="64" t="n">
        <f aca="false">IF(U$5="A",IF(Project_Register!$F$16=0,0,(Project_Register!$O$16+SUM(Inputs_Actuals!$E$175:U$175))/Project_Register!$F$16),IF(Assumptions!U$201&lt;Project_Register!$I$16,0,MIN(1,IF((Project_Register!$U$16+Project_Register!$V$16)=0,0,(U44+U57)/(Project_Register!$U$16+Project_Register!$V$16)))))</f>
        <v>1</v>
      </c>
      <c r="V70" s="64" t="n">
        <f aca="false">IF(V$5="A",IF(Project_Register!$F$16=0,0,(Project_Register!$O$16+SUM(Inputs_Actuals!$E$175:V$175))/Project_Register!$F$16),IF(Assumptions!V$201&lt;Project_Register!$I$16,0,MIN(1,IF((Project_Register!$U$16+Project_Register!$V$16)=0,0,(V44+V57)/(Project_Register!$U$16+Project_Register!$V$16)))))</f>
        <v>1</v>
      </c>
      <c r="W70" s="64" t="n">
        <f aca="false">IF(W$5="A",IF(Project_Register!$F$16=0,0,(Project_Register!$O$16+SUM(Inputs_Actuals!$E$175:W$175))/Project_Register!$F$16),IF(Assumptions!W$201&lt;Project_Register!$I$16,0,MIN(1,IF((Project_Register!$U$16+Project_Register!$V$16)=0,0,(W44+W57)/(Project_Register!$U$16+Project_Register!$V$16)))))</f>
        <v>1</v>
      </c>
      <c r="X70" s="64" t="n">
        <f aca="false">IF(X$5="A",IF(Project_Register!$F$16=0,0,(Project_Register!$O$16+SUM(Inputs_Actuals!$E$175:X$175))/Project_Register!$F$16),IF(Assumptions!X$201&lt;Project_Register!$I$16,0,MIN(1,IF((Project_Register!$U$16+Project_Register!$V$16)=0,0,(X44+X57)/(Project_Register!$U$16+Project_Register!$V$16)))))</f>
        <v>1</v>
      </c>
      <c r="Y70" s="64" t="n">
        <f aca="false">IF(Y$5="A",IF(Project_Register!$F$16=0,0,(Project_Register!$O$16+SUM(Inputs_Actuals!$E$175:Y$175))/Project_Register!$F$16),IF(Assumptions!Y$201&lt;Project_Register!$I$16,0,MIN(1,IF((Project_Register!$U$16+Project_Register!$V$16)=0,0,(Y44+Y57)/(Project_Register!$U$16+Project_Register!$V$16)))))</f>
        <v>1</v>
      </c>
      <c r="Z70" s="64" t="n">
        <f aca="false">IF(Z$5="A",IF(Project_Register!$F$16=0,0,(Project_Register!$O$16+SUM(Inputs_Actuals!$E$175:Z$175))/Project_Register!$F$16),IF(Assumptions!Z$201&lt;Project_Register!$I$16,0,MIN(1,IF((Project_Register!$U$16+Project_Register!$V$16)=0,0,(Z44+Z57)/(Project_Register!$U$16+Project_Register!$V$16)))))</f>
        <v>1</v>
      </c>
      <c r="AA70" s="64" t="n">
        <f aca="false">IF(AA$5="A",IF(Project_Register!$F$16=0,0,(Project_Register!$O$16+SUM(Inputs_Actuals!$E$175:AA$175))/Project_Register!$F$16),IF(Assumptions!AA$201&lt;Project_Register!$I$16,0,MIN(1,IF((Project_Register!$U$16+Project_Register!$V$16)=0,0,(AA44+AA57)/(Project_Register!$U$16+Project_Register!$V$16)))))</f>
        <v>1</v>
      </c>
      <c r="AB70" s="64" t="n">
        <f aca="false">IF(AB$5="A",IF(Project_Register!$F$16=0,0,(Project_Register!$O$16+SUM(Inputs_Actuals!$E$175:AB$175))/Project_Register!$F$16),IF(Assumptions!AB$201&lt;Project_Register!$I$16,0,MIN(1,IF((Project_Register!$U$16+Project_Register!$V$16)=0,0,(AB44+AB57)/(Project_Register!$U$16+Project_Register!$V$16)))))</f>
        <v>1</v>
      </c>
    </row>
    <row r="71" customFormat="false" ht="15" hidden="false" customHeight="false" outlineLevel="0" collapsed="false">
      <c r="A71" s="27" t="s">
        <v>950</v>
      </c>
      <c r="B71" s="63"/>
      <c r="C71" s="65" t="n">
        <f aca="false">P71</f>
        <v>1</v>
      </c>
      <c r="D71" s="65" t="n">
        <f aca="false">AB71</f>
        <v>1</v>
      </c>
      <c r="E71" s="64" t="n">
        <f aca="false">IF(E$5="A",IF(Project_Register!$F$17=0,0,(Project_Register!$O$17+SUM(Inputs_Actuals!$E$178:E$178))/Project_Register!$F$17),IF(Assumptions!E$201&lt;Project_Register!$I$17,0,MIN(1,IF((Project_Register!$U$17+Project_Register!$V$17)=0,0,(E45+E58)/(Project_Register!$U$17+Project_Register!$V$17)))))</f>
        <v>0.136363611111111</v>
      </c>
      <c r="F71" s="64" t="n">
        <f aca="false">IF(F$5="A",IF(Project_Register!$F$17=0,0,(Project_Register!$O$17+SUM(Inputs_Actuals!$E$178:F$178))/Project_Register!$F$17),IF(Assumptions!F$201&lt;Project_Register!$I$17,0,MIN(1,IF((Project_Register!$U$17+Project_Register!$V$17)=0,0,(F45+F58)/(Project_Register!$U$17+Project_Register!$V$17)))))</f>
        <v>0.318181805555556</v>
      </c>
      <c r="G71" s="64" t="n">
        <f aca="false">IF(G$5="A",IF(Project_Register!$F$17=0,0,(Project_Register!$O$17+SUM(Inputs_Actuals!$E$178:G$178))/Project_Register!$F$17),IF(Assumptions!G$201&lt;Project_Register!$I$17,0,MIN(1,IF((Project_Register!$U$17+Project_Register!$V$17)=0,0,(G45+G58)/(Project_Register!$U$17+Project_Register!$V$17)))))</f>
        <v>0.511363611111111</v>
      </c>
      <c r="H71" s="64" t="n">
        <f aca="false">IF(H$5="A",IF(Project_Register!$F$17=0,0,(Project_Register!$O$17+SUM(Inputs_Actuals!$E$178:H$178))/Project_Register!$F$17),IF(Assumptions!H$201&lt;Project_Register!$I$17,0,MIN(1,IF((Project_Register!$U$17+Project_Register!$V$17)=0,0,(H45+H58)/(Project_Register!$U$17+Project_Register!$V$17)))))</f>
        <v>0.693181805555556</v>
      </c>
      <c r="I71" s="64" t="n">
        <f aca="false">IF(I$5="A",IF(Project_Register!$F$17=0,0,(Project_Register!$O$17+SUM(Inputs_Actuals!$E$178:I$178))/Project_Register!$F$17),IF(Assumptions!I$201&lt;Project_Register!$I$17,0,MIN(1,IF((Project_Register!$U$17+Project_Register!$V$17)=0,0,(I45+I58)/(Project_Register!$U$17+Project_Register!$V$17)))))</f>
        <v>0.863636388888889</v>
      </c>
      <c r="J71" s="64" t="n">
        <f aca="false">IF(J$5="A",IF(Project_Register!$F$17=0,0,(Project_Register!$O$17+SUM(Inputs_Actuals!$E$178:J$178))/Project_Register!$F$17),IF(Assumptions!J$201&lt;Project_Register!$I$17,0,MIN(1,IF((Project_Register!$U$17+Project_Register!$V$17)=0,0,(J45+J58)/(Project_Register!$U$17+Project_Register!$V$17)))))</f>
        <v>1</v>
      </c>
      <c r="K71" s="64" t="n">
        <f aca="false">IF(K$5="A",IF(Project_Register!$F$17=0,0,(Project_Register!$O$17+SUM(Inputs_Actuals!$E$178:K$178))/Project_Register!$F$17),IF(Assumptions!K$201&lt;Project_Register!$I$17,0,MIN(1,IF((Project_Register!$U$17+Project_Register!$V$17)=0,0,(K45+K58)/(Project_Register!$U$17+Project_Register!$V$17)))))</f>
        <v>1</v>
      </c>
      <c r="L71" s="64" t="n">
        <f aca="false">IF(L$5="A",IF(Project_Register!$F$17=0,0,(Project_Register!$O$17+SUM(Inputs_Actuals!$E$178:L$178))/Project_Register!$F$17),IF(Assumptions!L$201&lt;Project_Register!$I$17,0,MIN(1,IF((Project_Register!$U$17+Project_Register!$V$17)=0,0,(L45+L58)/(Project_Register!$U$17+Project_Register!$V$17)))))</f>
        <v>1</v>
      </c>
      <c r="M71" s="64" t="n">
        <f aca="false">IF(M$5="A",IF(Project_Register!$F$17=0,0,(Project_Register!$O$17+SUM(Inputs_Actuals!$E$178:M$178))/Project_Register!$F$17),IF(Assumptions!M$201&lt;Project_Register!$I$17,0,MIN(1,IF((Project_Register!$U$17+Project_Register!$V$17)=0,0,(M45+M58)/(Project_Register!$U$17+Project_Register!$V$17)))))</f>
        <v>1</v>
      </c>
      <c r="N71" s="64" t="n">
        <f aca="false">IF(N$5="A",IF(Project_Register!$F$17=0,0,(Project_Register!$O$17+SUM(Inputs_Actuals!$E$178:N$178))/Project_Register!$F$17),IF(Assumptions!N$201&lt;Project_Register!$I$17,0,MIN(1,IF((Project_Register!$U$17+Project_Register!$V$17)=0,0,(N45+N58)/(Project_Register!$U$17+Project_Register!$V$17)))))</f>
        <v>1</v>
      </c>
      <c r="O71" s="64" t="n">
        <f aca="false">IF(O$5="A",IF(Project_Register!$F$17=0,0,(Project_Register!$O$17+SUM(Inputs_Actuals!$E$178:O$178))/Project_Register!$F$17),IF(Assumptions!O$201&lt;Project_Register!$I$17,0,MIN(1,IF((Project_Register!$U$17+Project_Register!$V$17)=0,0,(O45+O58)/(Project_Register!$U$17+Project_Register!$V$17)))))</f>
        <v>1</v>
      </c>
      <c r="P71" s="64" t="n">
        <f aca="false">IF(P$5="A",IF(Project_Register!$F$17=0,0,(Project_Register!$O$17+SUM(Inputs_Actuals!$E$178:P$178))/Project_Register!$F$17),IF(Assumptions!P$201&lt;Project_Register!$I$17,0,MIN(1,IF((Project_Register!$U$17+Project_Register!$V$17)=0,0,(P45+P58)/(Project_Register!$U$17+Project_Register!$V$17)))))</f>
        <v>1</v>
      </c>
      <c r="Q71" s="64" t="n">
        <f aca="false">IF(Q$5="A",IF(Project_Register!$F$17=0,0,(Project_Register!$O$17+SUM(Inputs_Actuals!$E$178:Q$178))/Project_Register!$F$17),IF(Assumptions!Q$201&lt;Project_Register!$I$17,0,MIN(1,IF((Project_Register!$U$17+Project_Register!$V$17)=0,0,(Q45+Q58)/(Project_Register!$U$17+Project_Register!$V$17)))))</f>
        <v>1</v>
      </c>
      <c r="R71" s="64" t="n">
        <f aca="false">IF(R$5="A",IF(Project_Register!$F$17=0,0,(Project_Register!$O$17+SUM(Inputs_Actuals!$E$178:R$178))/Project_Register!$F$17),IF(Assumptions!R$201&lt;Project_Register!$I$17,0,MIN(1,IF((Project_Register!$U$17+Project_Register!$V$17)=0,0,(R45+R58)/(Project_Register!$U$17+Project_Register!$V$17)))))</f>
        <v>1</v>
      </c>
      <c r="S71" s="64" t="n">
        <f aca="false">IF(S$5="A",IF(Project_Register!$F$17=0,0,(Project_Register!$O$17+SUM(Inputs_Actuals!$E$178:S$178))/Project_Register!$F$17),IF(Assumptions!S$201&lt;Project_Register!$I$17,0,MIN(1,IF((Project_Register!$U$17+Project_Register!$V$17)=0,0,(S45+S58)/(Project_Register!$U$17+Project_Register!$V$17)))))</f>
        <v>1</v>
      </c>
      <c r="T71" s="64" t="n">
        <f aca="false">IF(T$5="A",IF(Project_Register!$F$17=0,0,(Project_Register!$O$17+SUM(Inputs_Actuals!$E$178:T$178))/Project_Register!$F$17),IF(Assumptions!T$201&lt;Project_Register!$I$17,0,MIN(1,IF((Project_Register!$U$17+Project_Register!$V$17)=0,0,(T45+T58)/(Project_Register!$U$17+Project_Register!$V$17)))))</f>
        <v>1</v>
      </c>
      <c r="U71" s="64" t="n">
        <f aca="false">IF(U$5="A",IF(Project_Register!$F$17=0,0,(Project_Register!$O$17+SUM(Inputs_Actuals!$E$178:U$178))/Project_Register!$F$17),IF(Assumptions!U$201&lt;Project_Register!$I$17,0,MIN(1,IF((Project_Register!$U$17+Project_Register!$V$17)=0,0,(U45+U58)/(Project_Register!$U$17+Project_Register!$V$17)))))</f>
        <v>1</v>
      </c>
      <c r="V71" s="64" t="n">
        <f aca="false">IF(V$5="A",IF(Project_Register!$F$17=0,0,(Project_Register!$O$17+SUM(Inputs_Actuals!$E$178:V$178))/Project_Register!$F$17),IF(Assumptions!V$201&lt;Project_Register!$I$17,0,MIN(1,IF((Project_Register!$U$17+Project_Register!$V$17)=0,0,(V45+V58)/(Project_Register!$U$17+Project_Register!$V$17)))))</f>
        <v>1</v>
      </c>
      <c r="W71" s="64" t="n">
        <f aca="false">IF(W$5="A",IF(Project_Register!$F$17=0,0,(Project_Register!$O$17+SUM(Inputs_Actuals!$E$178:W$178))/Project_Register!$F$17),IF(Assumptions!W$201&lt;Project_Register!$I$17,0,MIN(1,IF((Project_Register!$U$17+Project_Register!$V$17)=0,0,(W45+W58)/(Project_Register!$U$17+Project_Register!$V$17)))))</f>
        <v>1</v>
      </c>
      <c r="X71" s="64" t="n">
        <f aca="false">IF(X$5="A",IF(Project_Register!$F$17=0,0,(Project_Register!$O$17+SUM(Inputs_Actuals!$E$178:X$178))/Project_Register!$F$17),IF(Assumptions!X$201&lt;Project_Register!$I$17,0,MIN(1,IF((Project_Register!$U$17+Project_Register!$V$17)=0,0,(X45+X58)/(Project_Register!$U$17+Project_Register!$V$17)))))</f>
        <v>1</v>
      </c>
      <c r="Y71" s="64" t="n">
        <f aca="false">IF(Y$5="A",IF(Project_Register!$F$17=0,0,(Project_Register!$O$17+SUM(Inputs_Actuals!$E$178:Y$178))/Project_Register!$F$17),IF(Assumptions!Y$201&lt;Project_Register!$I$17,0,MIN(1,IF((Project_Register!$U$17+Project_Register!$V$17)=0,0,(Y45+Y58)/(Project_Register!$U$17+Project_Register!$V$17)))))</f>
        <v>1</v>
      </c>
      <c r="Z71" s="64" t="n">
        <f aca="false">IF(Z$5="A",IF(Project_Register!$F$17=0,0,(Project_Register!$O$17+SUM(Inputs_Actuals!$E$178:Z$178))/Project_Register!$F$17),IF(Assumptions!Z$201&lt;Project_Register!$I$17,0,MIN(1,IF((Project_Register!$U$17+Project_Register!$V$17)=0,0,(Z45+Z58)/(Project_Register!$U$17+Project_Register!$V$17)))))</f>
        <v>1</v>
      </c>
      <c r="AA71" s="64" t="n">
        <f aca="false">IF(AA$5="A",IF(Project_Register!$F$17=0,0,(Project_Register!$O$17+SUM(Inputs_Actuals!$E$178:AA$178))/Project_Register!$F$17),IF(Assumptions!AA$201&lt;Project_Register!$I$17,0,MIN(1,IF((Project_Register!$U$17+Project_Register!$V$17)=0,0,(AA45+AA58)/(Project_Register!$U$17+Project_Register!$V$17)))))</f>
        <v>1</v>
      </c>
      <c r="AB71" s="64" t="n">
        <f aca="false">IF(AB$5="A",IF(Project_Register!$F$17=0,0,(Project_Register!$O$17+SUM(Inputs_Actuals!$E$178:AB$178))/Project_Register!$F$17),IF(Assumptions!AB$201&lt;Project_Register!$I$17,0,MIN(1,IF((Project_Register!$U$17+Project_Register!$V$17)=0,0,(AB45+AB58)/(Project_Register!$U$17+Project_Register!$V$17)))))</f>
        <v>1</v>
      </c>
    </row>
    <row r="72" customFormat="false" ht="15" hidden="false" customHeight="false" outlineLevel="0" collapsed="false">
      <c r="A72" s="27" t="s">
        <v>951</v>
      </c>
      <c r="B72" s="63"/>
      <c r="C72" s="65" t="n">
        <f aca="false">P72</f>
        <v>1</v>
      </c>
      <c r="D72" s="65" t="n">
        <f aca="false">AB72</f>
        <v>1</v>
      </c>
      <c r="E72" s="64" t="n">
        <f aca="false">IF(E$5="A",IF(Project_Register!$F$18=0,0,(Project_Register!$O$18+SUM(Inputs_Actuals!$E$181:E$181))/Project_Register!$F$18),IF(Assumptions!E$201&lt;Project_Register!$I$18,0,MIN(1,IF((Project_Register!$U$18+Project_Register!$V$18)=0,0,(E46+E59)/(Project_Register!$U$18+Project_Register!$V$18)))))</f>
        <v>0</v>
      </c>
      <c r="F72" s="64" t="n">
        <f aca="false">IF(F$5="A",IF(Project_Register!$F$18=0,0,(Project_Register!$O$18+SUM(Inputs_Actuals!$E$181:F$181))/Project_Register!$F$18),IF(Assumptions!F$201&lt;Project_Register!$I$18,0,MIN(1,IF((Project_Register!$U$18+Project_Register!$V$18)=0,0,(F46+F59)/(Project_Register!$U$18+Project_Register!$V$18)))))</f>
        <v>0</v>
      </c>
      <c r="G72" s="64" t="n">
        <f aca="false">IF(G$5="A",IF(Project_Register!$F$18=0,0,(Project_Register!$O$18+SUM(Inputs_Actuals!$E$181:G$181))/Project_Register!$F$18),IF(Assumptions!G$201&lt;Project_Register!$I$18,0,MIN(1,IF((Project_Register!$U$18+Project_Register!$V$18)=0,0,(G46+G59)/(Project_Register!$U$18+Project_Register!$V$18)))))</f>
        <v>0</v>
      </c>
      <c r="H72" s="64" t="n">
        <f aca="false">IF(H$5="A",IF(Project_Register!$F$18=0,0,(Project_Register!$O$18+SUM(Inputs_Actuals!$E$181:H$181))/Project_Register!$F$18),IF(Assumptions!H$201&lt;Project_Register!$I$18,0,MIN(1,IF((Project_Register!$U$18+Project_Register!$V$18)=0,0,(H46+H59)/(Project_Register!$U$18+Project_Register!$V$18)))))</f>
        <v>0</v>
      </c>
      <c r="I72" s="64" t="n">
        <f aca="false">IF(I$5="A",IF(Project_Register!$F$18=0,0,(Project_Register!$O$18+SUM(Inputs_Actuals!$E$181:I$181))/Project_Register!$F$18),IF(Assumptions!I$201&lt;Project_Register!$I$18,0,MIN(1,IF((Project_Register!$U$18+Project_Register!$V$18)=0,0,(I46+I59)/(Project_Register!$U$18+Project_Register!$V$18)))))</f>
        <v>0.3</v>
      </c>
      <c r="J72" s="64" t="n">
        <f aca="false">IF(J$5="A",IF(Project_Register!$F$18=0,0,(Project_Register!$O$18+SUM(Inputs_Actuals!$E$181:J$181))/Project_Register!$F$18),IF(Assumptions!J$201&lt;Project_Register!$I$18,0,MIN(1,IF((Project_Register!$U$18+Project_Register!$V$18)=0,0,(J46+J59)/(Project_Register!$U$18+Project_Register!$V$18)))))</f>
        <v>0.7</v>
      </c>
      <c r="K72" s="64" t="n">
        <f aca="false">IF(K$5="A",IF(Project_Register!$F$18=0,0,(Project_Register!$O$18+SUM(Inputs_Actuals!$E$181:K$181))/Project_Register!$F$18),IF(Assumptions!K$201&lt;Project_Register!$I$18,0,MIN(1,IF((Project_Register!$U$18+Project_Register!$V$18)=0,0,(K46+K59)/(Project_Register!$U$18+Project_Register!$V$18)))))</f>
        <v>1</v>
      </c>
      <c r="L72" s="64" t="n">
        <f aca="false">IF(L$5="A",IF(Project_Register!$F$18=0,0,(Project_Register!$O$18+SUM(Inputs_Actuals!$E$181:L$181))/Project_Register!$F$18),IF(Assumptions!L$201&lt;Project_Register!$I$18,0,MIN(1,IF((Project_Register!$U$18+Project_Register!$V$18)=0,0,(L46+L59)/(Project_Register!$U$18+Project_Register!$V$18)))))</f>
        <v>1</v>
      </c>
      <c r="M72" s="64" t="n">
        <f aca="false">IF(M$5="A",IF(Project_Register!$F$18=0,0,(Project_Register!$O$18+SUM(Inputs_Actuals!$E$181:M$181))/Project_Register!$F$18),IF(Assumptions!M$201&lt;Project_Register!$I$18,0,MIN(1,IF((Project_Register!$U$18+Project_Register!$V$18)=0,0,(M46+M59)/(Project_Register!$U$18+Project_Register!$V$18)))))</f>
        <v>1</v>
      </c>
      <c r="N72" s="64" t="n">
        <f aca="false">IF(N$5="A",IF(Project_Register!$F$18=0,0,(Project_Register!$O$18+SUM(Inputs_Actuals!$E$181:N$181))/Project_Register!$F$18),IF(Assumptions!N$201&lt;Project_Register!$I$18,0,MIN(1,IF((Project_Register!$U$18+Project_Register!$V$18)=0,0,(N46+N59)/(Project_Register!$U$18+Project_Register!$V$18)))))</f>
        <v>1</v>
      </c>
      <c r="O72" s="64" t="n">
        <f aca="false">IF(O$5="A",IF(Project_Register!$F$18=0,0,(Project_Register!$O$18+SUM(Inputs_Actuals!$E$181:O$181))/Project_Register!$F$18),IF(Assumptions!O$201&lt;Project_Register!$I$18,0,MIN(1,IF((Project_Register!$U$18+Project_Register!$V$18)=0,0,(O46+O59)/(Project_Register!$U$18+Project_Register!$V$18)))))</f>
        <v>1</v>
      </c>
      <c r="P72" s="64" t="n">
        <f aca="false">IF(P$5="A",IF(Project_Register!$F$18=0,0,(Project_Register!$O$18+SUM(Inputs_Actuals!$E$181:P$181))/Project_Register!$F$18),IF(Assumptions!P$201&lt;Project_Register!$I$18,0,MIN(1,IF((Project_Register!$U$18+Project_Register!$V$18)=0,0,(P46+P59)/(Project_Register!$U$18+Project_Register!$V$18)))))</f>
        <v>1</v>
      </c>
      <c r="Q72" s="64" t="n">
        <f aca="false">IF(Q$5="A",IF(Project_Register!$F$18=0,0,(Project_Register!$O$18+SUM(Inputs_Actuals!$E$181:Q$181))/Project_Register!$F$18),IF(Assumptions!Q$201&lt;Project_Register!$I$18,0,MIN(1,IF((Project_Register!$U$18+Project_Register!$V$18)=0,0,(Q46+Q59)/(Project_Register!$U$18+Project_Register!$V$18)))))</f>
        <v>1</v>
      </c>
      <c r="R72" s="64" t="n">
        <f aca="false">IF(R$5="A",IF(Project_Register!$F$18=0,0,(Project_Register!$O$18+SUM(Inputs_Actuals!$E$181:R$181))/Project_Register!$F$18),IF(Assumptions!R$201&lt;Project_Register!$I$18,0,MIN(1,IF((Project_Register!$U$18+Project_Register!$V$18)=0,0,(R46+R59)/(Project_Register!$U$18+Project_Register!$V$18)))))</f>
        <v>1</v>
      </c>
      <c r="S72" s="64" t="n">
        <f aca="false">IF(S$5="A",IF(Project_Register!$F$18=0,0,(Project_Register!$O$18+SUM(Inputs_Actuals!$E$181:S$181))/Project_Register!$F$18),IF(Assumptions!S$201&lt;Project_Register!$I$18,0,MIN(1,IF((Project_Register!$U$18+Project_Register!$V$18)=0,0,(S46+S59)/(Project_Register!$U$18+Project_Register!$V$18)))))</f>
        <v>1</v>
      </c>
      <c r="T72" s="64" t="n">
        <f aca="false">IF(T$5="A",IF(Project_Register!$F$18=0,0,(Project_Register!$O$18+SUM(Inputs_Actuals!$E$181:T$181))/Project_Register!$F$18),IF(Assumptions!T$201&lt;Project_Register!$I$18,0,MIN(1,IF((Project_Register!$U$18+Project_Register!$V$18)=0,0,(T46+T59)/(Project_Register!$U$18+Project_Register!$V$18)))))</f>
        <v>1</v>
      </c>
      <c r="U72" s="64" t="n">
        <f aca="false">IF(U$5="A",IF(Project_Register!$F$18=0,0,(Project_Register!$O$18+SUM(Inputs_Actuals!$E$181:U$181))/Project_Register!$F$18),IF(Assumptions!U$201&lt;Project_Register!$I$18,0,MIN(1,IF((Project_Register!$U$18+Project_Register!$V$18)=0,0,(U46+U59)/(Project_Register!$U$18+Project_Register!$V$18)))))</f>
        <v>1</v>
      </c>
      <c r="V72" s="64" t="n">
        <f aca="false">IF(V$5="A",IF(Project_Register!$F$18=0,0,(Project_Register!$O$18+SUM(Inputs_Actuals!$E$181:V$181))/Project_Register!$F$18),IF(Assumptions!V$201&lt;Project_Register!$I$18,0,MIN(1,IF((Project_Register!$U$18+Project_Register!$V$18)=0,0,(V46+V59)/(Project_Register!$U$18+Project_Register!$V$18)))))</f>
        <v>1</v>
      </c>
      <c r="W72" s="64" t="n">
        <f aca="false">IF(W$5="A",IF(Project_Register!$F$18=0,0,(Project_Register!$O$18+SUM(Inputs_Actuals!$E$181:W$181))/Project_Register!$F$18),IF(Assumptions!W$201&lt;Project_Register!$I$18,0,MIN(1,IF((Project_Register!$U$18+Project_Register!$V$18)=0,0,(W46+W59)/(Project_Register!$U$18+Project_Register!$V$18)))))</f>
        <v>1</v>
      </c>
      <c r="X72" s="64" t="n">
        <f aca="false">IF(X$5="A",IF(Project_Register!$F$18=0,0,(Project_Register!$O$18+SUM(Inputs_Actuals!$E$181:X$181))/Project_Register!$F$18),IF(Assumptions!X$201&lt;Project_Register!$I$18,0,MIN(1,IF((Project_Register!$U$18+Project_Register!$V$18)=0,0,(X46+X59)/(Project_Register!$U$18+Project_Register!$V$18)))))</f>
        <v>1</v>
      </c>
      <c r="Y72" s="64" t="n">
        <f aca="false">IF(Y$5="A",IF(Project_Register!$F$18=0,0,(Project_Register!$O$18+SUM(Inputs_Actuals!$E$181:Y$181))/Project_Register!$F$18),IF(Assumptions!Y$201&lt;Project_Register!$I$18,0,MIN(1,IF((Project_Register!$U$18+Project_Register!$V$18)=0,0,(Y46+Y59)/(Project_Register!$U$18+Project_Register!$V$18)))))</f>
        <v>1</v>
      </c>
      <c r="Z72" s="64" t="n">
        <f aca="false">IF(Z$5="A",IF(Project_Register!$F$18=0,0,(Project_Register!$O$18+SUM(Inputs_Actuals!$E$181:Z$181))/Project_Register!$F$18),IF(Assumptions!Z$201&lt;Project_Register!$I$18,0,MIN(1,IF((Project_Register!$U$18+Project_Register!$V$18)=0,0,(Z46+Z59)/(Project_Register!$U$18+Project_Register!$V$18)))))</f>
        <v>1</v>
      </c>
      <c r="AA72" s="64" t="n">
        <f aca="false">IF(AA$5="A",IF(Project_Register!$F$18=0,0,(Project_Register!$O$18+SUM(Inputs_Actuals!$E$181:AA$181))/Project_Register!$F$18),IF(Assumptions!AA$201&lt;Project_Register!$I$18,0,MIN(1,IF((Project_Register!$U$18+Project_Register!$V$18)=0,0,(AA46+AA59)/(Project_Register!$U$18+Project_Register!$V$18)))))</f>
        <v>1</v>
      </c>
      <c r="AB72" s="64" t="n">
        <f aca="false">IF(AB$5="A",IF(Project_Register!$F$18=0,0,(Project_Register!$O$18+SUM(Inputs_Actuals!$E$181:AB$181))/Project_Register!$F$18),IF(Assumptions!AB$201&lt;Project_Register!$I$18,0,MIN(1,IF((Project_Register!$U$18+Project_Register!$V$18)=0,0,(AB46+AB59)/(Project_Register!$U$18+Project_Register!$V$18)))))</f>
        <v>1</v>
      </c>
    </row>
    <row r="73" customFormat="false" ht="15" hidden="false" customHeight="false" outlineLevel="0" collapsed="false">
      <c r="A73" s="21" t="s">
        <v>955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row>
    <row r="74" customFormat="false" ht="15" hidden="false" customHeight="false" outlineLevel="0" collapsed="false">
      <c r="A74" s="27" t="s">
        <v>940</v>
      </c>
      <c r="B74" s="63"/>
      <c r="C74" s="66" t="n">
        <f aca="false">SUM(E74:P74)</f>
        <v>144512.2</v>
      </c>
      <c r="D74" s="66" t="n">
        <f aca="false">SUM(Q74:AB74)</f>
        <v>0</v>
      </c>
      <c r="E74" s="67" t="n">
        <f aca="false">IF(E$5="A",Inputs_Actuals!E148,IF(Assumptions!E$201&lt;Project_Register!$I$7,0,Project_Register!$F$7*E61-Project_Register!$O$7))</f>
        <v>13873.18</v>
      </c>
      <c r="F74" s="67" t="n">
        <f aca="false">IF(F$5="A",Inputs_Actuals!F148,IF(Assumptions!F$201&lt;Project_Register!$I$7,0,Project_Register!$F$7*F61-E87))</f>
        <v>16570.73</v>
      </c>
      <c r="G74" s="67" t="n">
        <f aca="false">IF(G$5="A",Inputs_Actuals!G148,IF(Assumptions!G$201&lt;Project_Register!$I$7,0,Project_Register!$F$7*G61-F87))</f>
        <v>19268.29</v>
      </c>
      <c r="H74" s="67" t="n">
        <f aca="false">IF(H$5="A",Inputs_Actuals!H148,IF(Assumptions!H$201&lt;Project_Register!$I$7,0,Project_Register!$F$7*H61-G87))</f>
        <v>23892.68</v>
      </c>
      <c r="I74" s="67" t="n">
        <f aca="false">IF(I$5="A",Inputs_Actuals!I148,IF(Assumptions!I$201&lt;Project_Register!$I$7,0,Project_Register!$F$7*I61-H87))</f>
        <v>26204.88</v>
      </c>
      <c r="J74" s="67" t="n">
        <f aca="false">IF(J$5="A",Inputs_Actuals!J148,IF(Assumptions!J$201&lt;Project_Register!$I$7,0,Project_Register!$F$7*J61-I87))</f>
        <v>-30460.42</v>
      </c>
      <c r="K74" s="67" t="n">
        <f aca="false">IF(K$5="A",Inputs_Actuals!K148,IF(Assumptions!K$201&lt;Project_Register!$I$7,0,Project_Register!$F$7*K61-J87))</f>
        <v>15348.57</v>
      </c>
      <c r="L74" s="67" t="n">
        <f aca="false">IF(L$5="A",Inputs_Actuals!L148,IF(Assumptions!L$201&lt;Project_Register!$I$7,0,Project_Register!$F$7*L61-K87))</f>
        <v>9931.43</v>
      </c>
      <c r="M74" s="67" t="n">
        <f aca="false">IF(M$5="A",Inputs_Actuals!M148,IF(Assumptions!M$201&lt;Project_Register!$I$7,0,Project_Register!$F$7*M61-L87))</f>
        <v>16627.6219047619</v>
      </c>
      <c r="N74" s="67" t="n">
        <f aca="false">IF(N$5="A",Inputs_Actuals!N148,IF(Assumptions!N$201&lt;Project_Register!$I$7,0,Project_Register!$F$7*N61-M87))</f>
        <v>16627.6190476191</v>
      </c>
      <c r="O74" s="67" t="n">
        <f aca="false">IF(O$5="A",Inputs_Actuals!O148,IF(Assumptions!O$201&lt;Project_Register!$I$7,0,Project_Register!$F$7*O61-N87))</f>
        <v>16627.6190476191</v>
      </c>
      <c r="P74" s="67" t="n">
        <f aca="false">IF(P$5="A",Inputs_Actuals!P148,IF(Assumptions!P$201&lt;Project_Register!$I$7,0,Project_Register!$F$7*P61-O87))</f>
        <v>0</v>
      </c>
      <c r="Q74" s="67" t="n">
        <f aca="false">IF(Q$5="A",Inputs_Actuals!Q148,IF(Assumptions!Q$201&lt;Project_Register!$I$7,0,Project_Register!$F$7*Q61-P87))</f>
        <v>0</v>
      </c>
      <c r="R74" s="67" t="n">
        <f aca="false">IF(R$5="A",Inputs_Actuals!R148,IF(Assumptions!R$201&lt;Project_Register!$I$7,0,Project_Register!$F$7*R61-Q87))</f>
        <v>0</v>
      </c>
      <c r="S74" s="67" t="n">
        <f aca="false">IF(S$5="A",Inputs_Actuals!S148,IF(Assumptions!S$201&lt;Project_Register!$I$7,0,Project_Register!$F$7*S61-R87))</f>
        <v>0</v>
      </c>
      <c r="T74" s="67" t="n">
        <f aca="false">IF(T$5="A",Inputs_Actuals!T148,IF(Assumptions!T$201&lt;Project_Register!$I$7,0,Project_Register!$F$7*T61-S87))</f>
        <v>0</v>
      </c>
      <c r="U74" s="67" t="n">
        <f aca="false">IF(U$5="A",Inputs_Actuals!U148,IF(Assumptions!U$201&lt;Project_Register!$I$7,0,Project_Register!$F$7*U61-T87))</f>
        <v>0</v>
      </c>
      <c r="V74" s="67" t="n">
        <f aca="false">IF(V$5="A",Inputs_Actuals!V148,IF(Assumptions!V$201&lt;Project_Register!$I$7,0,Project_Register!$F$7*V61-U87))</f>
        <v>0</v>
      </c>
      <c r="W74" s="67" t="n">
        <f aca="false">IF(W$5="A",Inputs_Actuals!W148,IF(Assumptions!W$201&lt;Project_Register!$I$7,0,Project_Register!$F$7*W61-V87))</f>
        <v>0</v>
      </c>
      <c r="X74" s="67" t="n">
        <f aca="false">IF(X$5="A",Inputs_Actuals!X148,IF(Assumptions!X$201&lt;Project_Register!$I$7,0,Project_Register!$F$7*X61-W87))</f>
        <v>0</v>
      </c>
      <c r="Y74" s="67" t="n">
        <f aca="false">IF(Y$5="A",Inputs_Actuals!Y148,IF(Assumptions!Y$201&lt;Project_Register!$I$7,0,Project_Register!$F$7*Y61-X87))</f>
        <v>0</v>
      </c>
      <c r="Z74" s="67" t="n">
        <f aca="false">IF(Z$5="A",Inputs_Actuals!Z148,IF(Assumptions!Z$201&lt;Project_Register!$I$7,0,Project_Register!$F$7*Z61-Y87))</f>
        <v>0</v>
      </c>
      <c r="AA74" s="67" t="n">
        <f aca="false">IF(AA$5="A",Inputs_Actuals!AA148,IF(Assumptions!AA$201&lt;Project_Register!$I$7,0,Project_Register!$F$7*AA61-Z87))</f>
        <v>0</v>
      </c>
      <c r="AB74" s="67" t="n">
        <f aca="false">IF(AB$5="A",Inputs_Actuals!AB148,IF(Assumptions!AB$201&lt;Project_Register!$I$7,0,Project_Register!$F$7*AB61-AA87))</f>
        <v>0</v>
      </c>
    </row>
    <row r="75" customFormat="false" ht="15" hidden="false" customHeight="false" outlineLevel="0" collapsed="false">
      <c r="A75" s="27" t="s">
        <v>941</v>
      </c>
      <c r="B75" s="63"/>
      <c r="C75" s="66" t="n">
        <f aca="false">SUM(E75:P75)</f>
        <v>64000</v>
      </c>
      <c r="D75" s="66" t="n">
        <f aca="false">SUM(Q75:AB75)</f>
        <v>0</v>
      </c>
      <c r="E75" s="67" t="n">
        <f aca="false">IF(E$5="A",Inputs_Actuals!E151,IF(Assumptions!E$201&lt;Project_Register!$I$8,0,Project_Register!$F$8*E62-Project_Register!$O$8))</f>
        <v>13948.72</v>
      </c>
      <c r="F75" s="67" t="n">
        <f aca="false">IF(F$5="A",Inputs_Actuals!F151,IF(Assumptions!F$201&lt;Project_Register!$I$8,0,Project_Register!$F$8*F62-E88))</f>
        <v>18871.79</v>
      </c>
      <c r="G75" s="67" t="n">
        <f aca="false">IF(G$5="A",Inputs_Actuals!G151,IF(Assumptions!G$201&lt;Project_Register!$I$8,0,Project_Register!$F$8*G62-F88))</f>
        <v>18051.28</v>
      </c>
      <c r="H75" s="67" t="n">
        <f aca="false">IF(H$5="A",Inputs_Actuals!H151,IF(Assumptions!H$201&lt;Project_Register!$I$8,0,Project_Register!$F$8*H62-G88))</f>
        <v>13128.21</v>
      </c>
      <c r="I75" s="67" t="n">
        <f aca="false">IF(I$5="A",Inputs_Actuals!I151,IF(Assumptions!I$201&lt;Project_Register!$I$8,0,Project_Register!$F$8*I62-H88))</f>
        <v>0</v>
      </c>
      <c r="J75" s="67" t="n">
        <f aca="false">IF(J$5="A",Inputs_Actuals!J151,IF(Assumptions!J$201&lt;Project_Register!$I$8,0,Project_Register!$F$8*J62-I88))</f>
        <v>0</v>
      </c>
      <c r="K75" s="67" t="n">
        <f aca="false">IF(K$5="A",Inputs_Actuals!K151,IF(Assumptions!K$201&lt;Project_Register!$I$8,0,Project_Register!$F$8*K62-J88))</f>
        <v>0</v>
      </c>
      <c r="L75" s="67" t="n">
        <f aca="false">IF(L$5="A",Inputs_Actuals!L151,IF(Assumptions!L$201&lt;Project_Register!$I$8,0,Project_Register!$F$8*L62-K88))</f>
        <v>0</v>
      </c>
      <c r="M75" s="67" t="n">
        <f aca="false">IF(M$5="A",Inputs_Actuals!M151,IF(Assumptions!M$201&lt;Project_Register!$I$8,0,Project_Register!$F$8*M62-L88))</f>
        <v>0</v>
      </c>
      <c r="N75" s="67" t="n">
        <f aca="false">IF(N$5="A",Inputs_Actuals!N151,IF(Assumptions!N$201&lt;Project_Register!$I$8,0,Project_Register!$F$8*N62-M88))</f>
        <v>0</v>
      </c>
      <c r="O75" s="67" t="n">
        <f aca="false">IF(O$5="A",Inputs_Actuals!O151,IF(Assumptions!O$201&lt;Project_Register!$I$8,0,Project_Register!$F$8*O62-N88))</f>
        <v>0</v>
      </c>
      <c r="P75" s="67" t="n">
        <f aca="false">IF(P$5="A",Inputs_Actuals!P151,IF(Assumptions!P$201&lt;Project_Register!$I$8,0,Project_Register!$F$8*P62-O88))</f>
        <v>0</v>
      </c>
      <c r="Q75" s="67" t="n">
        <f aca="false">IF(Q$5="A",Inputs_Actuals!Q151,IF(Assumptions!Q$201&lt;Project_Register!$I$8,0,Project_Register!$F$8*Q62-P88))</f>
        <v>0</v>
      </c>
      <c r="R75" s="67" t="n">
        <f aca="false">IF(R$5="A",Inputs_Actuals!R151,IF(Assumptions!R$201&lt;Project_Register!$I$8,0,Project_Register!$F$8*R62-Q88))</f>
        <v>0</v>
      </c>
      <c r="S75" s="67" t="n">
        <f aca="false">IF(S$5="A",Inputs_Actuals!S151,IF(Assumptions!S$201&lt;Project_Register!$I$8,0,Project_Register!$F$8*S62-R88))</f>
        <v>0</v>
      </c>
      <c r="T75" s="67" t="n">
        <f aca="false">IF(T$5="A",Inputs_Actuals!T151,IF(Assumptions!T$201&lt;Project_Register!$I$8,0,Project_Register!$F$8*T62-S88))</f>
        <v>0</v>
      </c>
      <c r="U75" s="67" t="n">
        <f aca="false">IF(U$5="A",Inputs_Actuals!U151,IF(Assumptions!U$201&lt;Project_Register!$I$8,0,Project_Register!$F$8*U62-T88))</f>
        <v>0</v>
      </c>
      <c r="V75" s="67" t="n">
        <f aca="false">IF(V$5="A",Inputs_Actuals!V151,IF(Assumptions!V$201&lt;Project_Register!$I$8,0,Project_Register!$F$8*V62-U88))</f>
        <v>0</v>
      </c>
      <c r="W75" s="67" t="n">
        <f aca="false">IF(W$5="A",Inputs_Actuals!W151,IF(Assumptions!W$201&lt;Project_Register!$I$8,0,Project_Register!$F$8*W62-V88))</f>
        <v>0</v>
      </c>
      <c r="X75" s="67" t="n">
        <f aca="false">IF(X$5="A",Inputs_Actuals!X151,IF(Assumptions!X$201&lt;Project_Register!$I$8,0,Project_Register!$F$8*X62-W88))</f>
        <v>0</v>
      </c>
      <c r="Y75" s="67" t="n">
        <f aca="false">IF(Y$5="A",Inputs_Actuals!Y151,IF(Assumptions!Y$201&lt;Project_Register!$I$8,0,Project_Register!$F$8*Y62-X88))</f>
        <v>0</v>
      </c>
      <c r="Z75" s="67" t="n">
        <f aca="false">IF(Z$5="A",Inputs_Actuals!Z151,IF(Assumptions!Z$201&lt;Project_Register!$I$8,0,Project_Register!$F$8*Z62-Y88))</f>
        <v>0</v>
      </c>
      <c r="AA75" s="67" t="n">
        <f aca="false">IF(AA$5="A",Inputs_Actuals!AA151,IF(Assumptions!AA$201&lt;Project_Register!$I$8,0,Project_Register!$F$8*AA62-Z88))</f>
        <v>0</v>
      </c>
      <c r="AB75" s="67" t="n">
        <f aca="false">IF(AB$5="A",Inputs_Actuals!AB151,IF(Assumptions!AB$201&lt;Project_Register!$I$8,0,Project_Register!$F$8*AB62-AA88))</f>
        <v>0</v>
      </c>
    </row>
    <row r="76" customFormat="false" ht="15" hidden="false" customHeight="false" outlineLevel="0" collapsed="false">
      <c r="A76" s="27" t="s">
        <v>942</v>
      </c>
      <c r="B76" s="63"/>
      <c r="C76" s="66" t="n">
        <f aca="false">SUM(E76:P76)</f>
        <v>52000</v>
      </c>
      <c r="D76" s="66" t="n">
        <f aca="false">SUM(Q76:AB76)</f>
        <v>0</v>
      </c>
      <c r="E76" s="67" t="n">
        <f aca="false">IF(E$5="A",Inputs_Actuals!E154,IF(Assumptions!E$201&lt;Project_Register!$I$9,0,Project_Register!$F$9*E63-Project_Register!$O$9))</f>
        <v>0</v>
      </c>
      <c r="F76" s="67" t="n">
        <f aca="false">IF(F$5="A",Inputs_Actuals!F154,IF(Assumptions!F$201&lt;Project_Register!$I$9,0,Project_Register!$F$9*F63-E89))</f>
        <v>0</v>
      </c>
      <c r="G76" s="67" t="n">
        <f aca="false">IF(G$5="A",Inputs_Actuals!G154,IF(Assumptions!G$201&lt;Project_Register!$I$9,0,Project_Register!$F$9*G63-F89))</f>
        <v>8937.5</v>
      </c>
      <c r="H76" s="67" t="n">
        <f aca="false">IF(H$5="A",Inputs_Actuals!H154,IF(Assumptions!H$201&lt;Project_Register!$I$9,0,Project_Register!$F$9*H63-G89))</f>
        <v>12187.5</v>
      </c>
      <c r="I76" s="67" t="n">
        <f aca="false">IF(I$5="A",Inputs_Actuals!I154,IF(Assumptions!I$201&lt;Project_Register!$I$9,0,Project_Register!$F$9*I63-H89))</f>
        <v>12187.5</v>
      </c>
      <c r="J76" s="67" t="n">
        <f aca="false">IF(J$5="A",Inputs_Actuals!J154,IF(Assumptions!J$201&lt;Project_Register!$I$9,0,Project_Register!$F$9*J63-I89))</f>
        <v>11375</v>
      </c>
      <c r="K76" s="67" t="n">
        <f aca="false">IF(K$5="A",Inputs_Actuals!K154,IF(Assumptions!K$201&lt;Project_Register!$I$9,0,Project_Register!$F$9*K63-J89))</f>
        <v>7312.5</v>
      </c>
      <c r="L76" s="67" t="n">
        <f aca="false">IF(L$5="A",Inputs_Actuals!L154,IF(Assumptions!L$201&lt;Project_Register!$I$9,0,Project_Register!$F$9*L63-K89))</f>
        <v>0</v>
      </c>
      <c r="M76" s="67" t="n">
        <f aca="false">IF(M$5="A",Inputs_Actuals!M154,IF(Assumptions!M$201&lt;Project_Register!$I$9,0,Project_Register!$F$9*M63-L89))</f>
        <v>0</v>
      </c>
      <c r="N76" s="67" t="n">
        <f aca="false">IF(N$5="A",Inputs_Actuals!N154,IF(Assumptions!N$201&lt;Project_Register!$I$9,0,Project_Register!$F$9*N63-M89))</f>
        <v>0</v>
      </c>
      <c r="O76" s="67" t="n">
        <f aca="false">IF(O$5="A",Inputs_Actuals!O154,IF(Assumptions!O$201&lt;Project_Register!$I$9,0,Project_Register!$F$9*O63-N89))</f>
        <v>0</v>
      </c>
      <c r="P76" s="67" t="n">
        <f aca="false">IF(P$5="A",Inputs_Actuals!P154,IF(Assumptions!P$201&lt;Project_Register!$I$9,0,Project_Register!$F$9*P63-O89))</f>
        <v>0</v>
      </c>
      <c r="Q76" s="67" t="n">
        <f aca="false">IF(Q$5="A",Inputs_Actuals!Q154,IF(Assumptions!Q$201&lt;Project_Register!$I$9,0,Project_Register!$F$9*Q63-P89))</f>
        <v>0</v>
      </c>
      <c r="R76" s="67" t="n">
        <f aca="false">IF(R$5="A",Inputs_Actuals!R154,IF(Assumptions!R$201&lt;Project_Register!$I$9,0,Project_Register!$F$9*R63-Q89))</f>
        <v>0</v>
      </c>
      <c r="S76" s="67" t="n">
        <f aca="false">IF(S$5="A",Inputs_Actuals!S154,IF(Assumptions!S$201&lt;Project_Register!$I$9,0,Project_Register!$F$9*S63-R89))</f>
        <v>0</v>
      </c>
      <c r="T76" s="67" t="n">
        <f aca="false">IF(T$5="A",Inputs_Actuals!T154,IF(Assumptions!T$201&lt;Project_Register!$I$9,0,Project_Register!$F$9*T63-S89))</f>
        <v>0</v>
      </c>
      <c r="U76" s="67" t="n">
        <f aca="false">IF(U$5="A",Inputs_Actuals!U154,IF(Assumptions!U$201&lt;Project_Register!$I$9,0,Project_Register!$F$9*U63-T89))</f>
        <v>0</v>
      </c>
      <c r="V76" s="67" t="n">
        <f aca="false">IF(V$5="A",Inputs_Actuals!V154,IF(Assumptions!V$201&lt;Project_Register!$I$9,0,Project_Register!$F$9*V63-U89))</f>
        <v>0</v>
      </c>
      <c r="W76" s="67" t="n">
        <f aca="false">IF(W$5="A",Inputs_Actuals!W154,IF(Assumptions!W$201&lt;Project_Register!$I$9,0,Project_Register!$F$9*W63-V89))</f>
        <v>0</v>
      </c>
      <c r="X76" s="67" t="n">
        <f aca="false">IF(X$5="A",Inputs_Actuals!X154,IF(Assumptions!X$201&lt;Project_Register!$I$9,0,Project_Register!$F$9*X63-W89))</f>
        <v>0</v>
      </c>
      <c r="Y76" s="67" t="n">
        <f aca="false">IF(Y$5="A",Inputs_Actuals!Y154,IF(Assumptions!Y$201&lt;Project_Register!$I$9,0,Project_Register!$F$9*Y63-X89))</f>
        <v>0</v>
      </c>
      <c r="Z76" s="67" t="n">
        <f aca="false">IF(Z$5="A",Inputs_Actuals!Z154,IF(Assumptions!Z$201&lt;Project_Register!$I$9,0,Project_Register!$F$9*Z63-Y89))</f>
        <v>0</v>
      </c>
      <c r="AA76" s="67" t="n">
        <f aca="false">IF(AA$5="A",Inputs_Actuals!AA154,IF(Assumptions!AA$201&lt;Project_Register!$I$9,0,Project_Register!$F$9*AA63-Z89))</f>
        <v>0</v>
      </c>
      <c r="AB76" s="67" t="n">
        <f aca="false">IF(AB$5="A",Inputs_Actuals!AB154,IF(Assumptions!AB$201&lt;Project_Register!$I$9,0,Project_Register!$F$9*AB63-AA89))</f>
        <v>0</v>
      </c>
    </row>
    <row r="77" customFormat="false" ht="15" hidden="false" customHeight="false" outlineLevel="0" collapsed="false">
      <c r="A77" s="27" t="s">
        <v>943</v>
      </c>
      <c r="B77" s="63"/>
      <c r="C77" s="66" t="n">
        <f aca="false">SUM(E77:P77)</f>
        <v>59840</v>
      </c>
      <c r="D77" s="66" t="n">
        <f aca="false">SUM(Q77:AB77)</f>
        <v>0</v>
      </c>
      <c r="E77" s="67" t="n">
        <f aca="false">IF(E$5="A",Inputs_Actuals!E157,(E12+E25)*Project_Register!$F$10)</f>
        <v>0</v>
      </c>
      <c r="F77" s="67" t="n">
        <f aca="false">IF(F$5="A",Inputs_Actuals!F157,(F12+F25)*Project_Register!$F$10)</f>
        <v>6460</v>
      </c>
      <c r="G77" s="67" t="n">
        <f aca="false">IF(G$5="A",Inputs_Actuals!G157,(G12+G25)*Project_Register!$F$10)</f>
        <v>8024</v>
      </c>
      <c r="H77" s="67" t="n">
        <f aca="false">IF(H$5="A",Inputs_Actuals!H157,(H12+H25)*Project_Register!$F$10)</f>
        <v>7616</v>
      </c>
      <c r="I77" s="67" t="n">
        <f aca="false">IF(I$5="A",Inputs_Actuals!I157,(I12+I25)*Project_Register!$F$10)</f>
        <v>7480</v>
      </c>
      <c r="J77" s="67" t="n">
        <f aca="false">IF(J$5="A",Inputs_Actuals!J157,(J12+J25)*Project_Register!$F$10)</f>
        <v>7888</v>
      </c>
      <c r="K77" s="67" t="n">
        <f aca="false">IF(K$5="A",Inputs_Actuals!K157,(K12+K25)*Project_Register!$F$10)</f>
        <v>7072</v>
      </c>
      <c r="L77" s="67" t="n">
        <f aca="false">IF(L$5="A",Inputs_Actuals!L157,(L12+L25)*Project_Register!$F$10)</f>
        <v>4896</v>
      </c>
      <c r="M77" s="67" t="n">
        <f aca="false">IF(M$5="A",Inputs_Actuals!M157,(M12+M25)*Project_Register!$F$10)</f>
        <v>10404</v>
      </c>
      <c r="N77" s="67" t="n">
        <f aca="false">IF(N$5="A",Inputs_Actuals!N157,(N12+N25)*Project_Register!$F$10)</f>
        <v>0</v>
      </c>
      <c r="O77" s="67" t="n">
        <f aca="false">IF(O$5="A",Inputs_Actuals!O157,(O12+O25)*Project_Register!$F$10)</f>
        <v>0</v>
      </c>
      <c r="P77" s="67" t="n">
        <f aca="false">IF(P$5="A",Inputs_Actuals!P157,(P12+P25)*Project_Register!$F$10)</f>
        <v>0</v>
      </c>
      <c r="Q77" s="67" t="n">
        <f aca="false">IF(Q$5="A",Inputs_Actuals!Q157,(Q12+Q25)*Project_Register!$F$10)</f>
        <v>0</v>
      </c>
      <c r="R77" s="67" t="n">
        <f aca="false">IF(R$5="A",Inputs_Actuals!R157,(R12+R25)*Project_Register!$F$10)</f>
        <v>0</v>
      </c>
      <c r="S77" s="67" t="n">
        <f aca="false">IF(S$5="A",Inputs_Actuals!S157,(S12+S25)*Project_Register!$F$10)</f>
        <v>0</v>
      </c>
      <c r="T77" s="67" t="n">
        <f aca="false">IF(T$5="A",Inputs_Actuals!T157,(T12+T25)*Project_Register!$F$10)</f>
        <v>0</v>
      </c>
      <c r="U77" s="67" t="n">
        <f aca="false">IF(U$5="A",Inputs_Actuals!U157,(U12+U25)*Project_Register!$F$10)</f>
        <v>0</v>
      </c>
      <c r="V77" s="67" t="n">
        <f aca="false">IF(V$5="A",Inputs_Actuals!V157,(V12+V25)*Project_Register!$F$10)</f>
        <v>0</v>
      </c>
      <c r="W77" s="67" t="n">
        <f aca="false">IF(W$5="A",Inputs_Actuals!W157,(W12+W25)*Project_Register!$F$10)</f>
        <v>0</v>
      </c>
      <c r="X77" s="67" t="n">
        <f aca="false">IF(X$5="A",Inputs_Actuals!X157,(X12+X25)*Project_Register!$F$10)</f>
        <v>0</v>
      </c>
      <c r="Y77" s="67" t="n">
        <f aca="false">IF(Y$5="A",Inputs_Actuals!Y157,(Y12+Y25)*Project_Register!$F$10)</f>
        <v>0</v>
      </c>
      <c r="Z77" s="67" t="n">
        <f aca="false">IF(Z$5="A",Inputs_Actuals!Z157,(Z12+Z25)*Project_Register!$F$10)</f>
        <v>0</v>
      </c>
      <c r="AA77" s="67" t="n">
        <f aca="false">IF(AA$5="A",Inputs_Actuals!AA157,(AA12+AA25)*Project_Register!$F$10)</f>
        <v>0</v>
      </c>
      <c r="AB77" s="67" t="n">
        <f aca="false">IF(AB$5="A",Inputs_Actuals!AB157,(AB12+AB25)*Project_Register!$F$10)</f>
        <v>0</v>
      </c>
    </row>
    <row r="78" customFormat="false" ht="15" hidden="false" customHeight="false" outlineLevel="0" collapsed="false">
      <c r="A78" s="27" t="s">
        <v>944</v>
      </c>
      <c r="B78" s="63"/>
      <c r="C78" s="66" t="n">
        <f aca="false">SUM(E78:P78)</f>
        <v>100800</v>
      </c>
      <c r="D78" s="66" t="n">
        <f aca="false">SUM(Q78:AB78)</f>
        <v>0</v>
      </c>
      <c r="E78" s="67" t="n">
        <f aca="false">IF(E$5="A",Inputs_Actuals!E160,(E13+E26)*Project_Register!$F$11)</f>
        <v>7920</v>
      </c>
      <c r="F78" s="67" t="n">
        <f aca="false">IF(F$5="A",Inputs_Actuals!F160,(F13+F26)*Project_Register!$F$11)</f>
        <v>8400</v>
      </c>
      <c r="G78" s="67" t="n">
        <f aca="false">IF(G$5="A",Inputs_Actuals!G160,(G13+G26)*Project_Register!$F$11)</f>
        <v>8760</v>
      </c>
      <c r="H78" s="67" t="n">
        <f aca="false">IF(H$5="A",Inputs_Actuals!H160,(H13+H26)*Project_Register!$F$11)</f>
        <v>8280</v>
      </c>
      <c r="I78" s="67" t="n">
        <f aca="false">IF(I$5="A",Inputs_Actuals!I160,(I13+I26)*Project_Register!$F$11)</f>
        <v>8520</v>
      </c>
      <c r="J78" s="67" t="n">
        <f aca="false">IF(J$5="A",Inputs_Actuals!J160,(J13+J26)*Project_Register!$F$11)</f>
        <v>8640</v>
      </c>
      <c r="K78" s="67" t="n">
        <f aca="false">IF(K$5="A",Inputs_Actuals!K160,(K13+K26)*Project_Register!$F$11)</f>
        <v>8160</v>
      </c>
      <c r="L78" s="67" t="n">
        <f aca="false">IF(L$5="A",Inputs_Actuals!L160,(L13+L26)*Project_Register!$F$11)</f>
        <v>5760</v>
      </c>
      <c r="M78" s="67" t="n">
        <f aca="false">IF(M$5="A",Inputs_Actuals!M160,(M13+M26)*Project_Register!$F$11)</f>
        <v>9090</v>
      </c>
      <c r="N78" s="67" t="n">
        <f aca="false">IF(N$5="A",Inputs_Actuals!N160,(N13+N26)*Project_Register!$F$11)</f>
        <v>9090</v>
      </c>
      <c r="O78" s="67" t="n">
        <f aca="false">IF(O$5="A",Inputs_Actuals!O160,(O13+O26)*Project_Register!$F$11)</f>
        <v>9090</v>
      </c>
      <c r="P78" s="67" t="n">
        <f aca="false">IF(P$5="A",Inputs_Actuals!P160,(P13+P26)*Project_Register!$F$11)</f>
        <v>9090</v>
      </c>
      <c r="Q78" s="67" t="n">
        <f aca="false">IF(Q$5="A",Inputs_Actuals!Q160,(Q13+Q26)*Project_Register!$F$11)</f>
        <v>0</v>
      </c>
      <c r="R78" s="67" t="n">
        <f aca="false">IF(R$5="A",Inputs_Actuals!R160,(R13+R26)*Project_Register!$F$11)</f>
        <v>0</v>
      </c>
      <c r="S78" s="67" t="n">
        <f aca="false">IF(S$5="A",Inputs_Actuals!S160,(S13+S26)*Project_Register!$F$11)</f>
        <v>0</v>
      </c>
      <c r="T78" s="67" t="n">
        <f aca="false">IF(T$5="A",Inputs_Actuals!T160,(T13+T26)*Project_Register!$F$11)</f>
        <v>0</v>
      </c>
      <c r="U78" s="67" t="n">
        <f aca="false">IF(U$5="A",Inputs_Actuals!U160,(U13+U26)*Project_Register!$F$11)</f>
        <v>0</v>
      </c>
      <c r="V78" s="67" t="n">
        <f aca="false">IF(V$5="A",Inputs_Actuals!V160,(V13+V26)*Project_Register!$F$11)</f>
        <v>0</v>
      </c>
      <c r="W78" s="67" t="n">
        <f aca="false">IF(W$5="A",Inputs_Actuals!W160,(W13+W26)*Project_Register!$F$11)</f>
        <v>0</v>
      </c>
      <c r="X78" s="67" t="n">
        <f aca="false">IF(X$5="A",Inputs_Actuals!X160,(X13+X26)*Project_Register!$F$11)</f>
        <v>0</v>
      </c>
      <c r="Y78" s="67" t="n">
        <f aca="false">IF(Y$5="A",Inputs_Actuals!Y160,(Y13+Y26)*Project_Register!$F$11)</f>
        <v>0</v>
      </c>
      <c r="Z78" s="67" t="n">
        <f aca="false">IF(Z$5="A",Inputs_Actuals!Z160,(Z13+Z26)*Project_Register!$F$11)</f>
        <v>0</v>
      </c>
      <c r="AA78" s="67" t="n">
        <f aca="false">IF(AA$5="A",Inputs_Actuals!AA160,(AA13+AA26)*Project_Register!$F$11)</f>
        <v>0</v>
      </c>
      <c r="AB78" s="67" t="n">
        <f aca="false">IF(AB$5="A",Inputs_Actuals!AB160,(AB13+AB26)*Project_Register!$F$11)</f>
        <v>0</v>
      </c>
    </row>
    <row r="79" customFormat="false" ht="15" hidden="false" customHeight="false" outlineLevel="0" collapsed="false">
      <c r="A79" s="27" t="s">
        <v>945</v>
      </c>
      <c r="B79" s="63"/>
      <c r="C79" s="66" t="n">
        <f aca="false">SUM(E79:P79)</f>
        <v>32000</v>
      </c>
      <c r="D79" s="66" t="n">
        <f aca="false">SUM(Q79:AB79)</f>
        <v>0</v>
      </c>
      <c r="E79" s="67" t="n">
        <f aca="false">IF(E$5="A",Inputs_Actuals!E163,IF(Assumptions!E$201&lt;Project_Register!$I$12,0,Project_Register!$F$12*E66-Project_Register!$O$12))</f>
        <v>0</v>
      </c>
      <c r="F79" s="67" t="n">
        <f aca="false">IF(F$5="A",Inputs_Actuals!F163,IF(Assumptions!F$201&lt;Project_Register!$I$12,0,Project_Register!$F$12*F66-E92))</f>
        <v>0</v>
      </c>
      <c r="G79" s="67" t="n">
        <f aca="false">IF(G$5="A",Inputs_Actuals!G163,IF(Assumptions!G$201&lt;Project_Register!$I$12,0,Project_Register!$F$12*G66-F92))</f>
        <v>9600</v>
      </c>
      <c r="H79" s="67" t="n">
        <f aca="false">IF(H$5="A",Inputs_Actuals!H163,IF(Assumptions!H$201&lt;Project_Register!$I$12,0,Project_Register!$F$12*H66-G92))</f>
        <v>12800</v>
      </c>
      <c r="I79" s="67" t="n">
        <f aca="false">IF(I$5="A",Inputs_Actuals!I163,IF(Assumptions!I$201&lt;Project_Register!$I$12,0,Project_Register!$F$12*I66-H92))</f>
        <v>9600</v>
      </c>
      <c r="J79" s="67" t="n">
        <f aca="false">IF(J$5="A",Inputs_Actuals!J163,IF(Assumptions!J$201&lt;Project_Register!$I$12,0,Project_Register!$F$12*J66-I92))</f>
        <v>0</v>
      </c>
      <c r="K79" s="67" t="n">
        <f aca="false">IF(K$5="A",Inputs_Actuals!K163,IF(Assumptions!K$201&lt;Project_Register!$I$12,0,Project_Register!$F$12*K66-J92))</f>
        <v>0</v>
      </c>
      <c r="L79" s="67" t="n">
        <f aca="false">IF(L$5="A",Inputs_Actuals!L163,IF(Assumptions!L$201&lt;Project_Register!$I$12,0,Project_Register!$F$12*L66-K92))</f>
        <v>0</v>
      </c>
      <c r="M79" s="67" t="n">
        <f aca="false">IF(M$5="A",Inputs_Actuals!M163,IF(Assumptions!M$201&lt;Project_Register!$I$12,0,Project_Register!$F$12*M66-L92))</f>
        <v>0</v>
      </c>
      <c r="N79" s="67" t="n">
        <f aca="false">IF(N$5="A",Inputs_Actuals!N163,IF(Assumptions!N$201&lt;Project_Register!$I$12,0,Project_Register!$F$12*N66-M92))</f>
        <v>0</v>
      </c>
      <c r="O79" s="67" t="n">
        <f aca="false">IF(O$5="A",Inputs_Actuals!O163,IF(Assumptions!O$201&lt;Project_Register!$I$12,0,Project_Register!$F$12*O66-N92))</f>
        <v>0</v>
      </c>
      <c r="P79" s="67" t="n">
        <f aca="false">IF(P$5="A",Inputs_Actuals!P163,IF(Assumptions!P$201&lt;Project_Register!$I$12,0,Project_Register!$F$12*P66-O92))</f>
        <v>0</v>
      </c>
      <c r="Q79" s="67" t="n">
        <f aca="false">IF(Q$5="A",Inputs_Actuals!Q163,IF(Assumptions!Q$201&lt;Project_Register!$I$12,0,Project_Register!$F$12*Q66-P92))</f>
        <v>0</v>
      </c>
      <c r="R79" s="67" t="n">
        <f aca="false">IF(R$5="A",Inputs_Actuals!R163,IF(Assumptions!R$201&lt;Project_Register!$I$12,0,Project_Register!$F$12*R66-Q92))</f>
        <v>0</v>
      </c>
      <c r="S79" s="67" t="n">
        <f aca="false">IF(S$5="A",Inputs_Actuals!S163,IF(Assumptions!S$201&lt;Project_Register!$I$12,0,Project_Register!$F$12*S66-R92))</f>
        <v>0</v>
      </c>
      <c r="T79" s="67" t="n">
        <f aca="false">IF(T$5="A",Inputs_Actuals!T163,IF(Assumptions!T$201&lt;Project_Register!$I$12,0,Project_Register!$F$12*T66-S92))</f>
        <v>0</v>
      </c>
      <c r="U79" s="67" t="n">
        <f aca="false">IF(U$5="A",Inputs_Actuals!U163,IF(Assumptions!U$201&lt;Project_Register!$I$12,0,Project_Register!$F$12*U66-T92))</f>
        <v>0</v>
      </c>
      <c r="V79" s="67" t="n">
        <f aca="false">IF(V$5="A",Inputs_Actuals!V163,IF(Assumptions!V$201&lt;Project_Register!$I$12,0,Project_Register!$F$12*V66-U92))</f>
        <v>0</v>
      </c>
      <c r="W79" s="67" t="n">
        <f aca="false">IF(W$5="A",Inputs_Actuals!W163,IF(Assumptions!W$201&lt;Project_Register!$I$12,0,Project_Register!$F$12*W66-V92))</f>
        <v>0</v>
      </c>
      <c r="X79" s="67" t="n">
        <f aca="false">IF(X$5="A",Inputs_Actuals!X163,IF(Assumptions!X$201&lt;Project_Register!$I$12,0,Project_Register!$F$12*X66-W92))</f>
        <v>0</v>
      </c>
      <c r="Y79" s="67" t="n">
        <f aca="false">IF(Y$5="A",Inputs_Actuals!Y163,IF(Assumptions!Y$201&lt;Project_Register!$I$12,0,Project_Register!$F$12*Y66-X92))</f>
        <v>0</v>
      </c>
      <c r="Z79" s="67" t="n">
        <f aca="false">IF(Z$5="A",Inputs_Actuals!Z163,IF(Assumptions!Z$201&lt;Project_Register!$I$12,0,Project_Register!$F$12*Z66-Y92))</f>
        <v>0</v>
      </c>
      <c r="AA79" s="67" t="n">
        <f aca="false">IF(AA$5="A",Inputs_Actuals!AA163,IF(Assumptions!AA$201&lt;Project_Register!$I$12,0,Project_Register!$F$12*AA66-Z92))</f>
        <v>0</v>
      </c>
      <c r="AB79" s="67" t="n">
        <f aca="false">IF(AB$5="A",Inputs_Actuals!AB163,IF(Assumptions!AB$201&lt;Project_Register!$I$12,0,Project_Register!$F$12*AB66-AA92))</f>
        <v>0</v>
      </c>
    </row>
    <row r="80" customFormat="false" ht="15" hidden="false" customHeight="false" outlineLevel="0" collapsed="false">
      <c r="A80" s="27" t="s">
        <v>946</v>
      </c>
      <c r="B80" s="63"/>
      <c r="C80" s="66" t="n">
        <f aca="false">SUM(E80:P80)</f>
        <v>38000</v>
      </c>
      <c r="D80" s="66" t="n">
        <f aca="false">SUM(Q80:AB80)</f>
        <v>0</v>
      </c>
      <c r="E80" s="67" t="n">
        <f aca="false">IF(E$5="A",Inputs_Actuals!E166,IF(Assumptions!E$201&lt;Project_Register!$I$13,0,Project_Register!$F$13*E67-Project_Register!$O$13))</f>
        <v>0</v>
      </c>
      <c r="F80" s="67" t="n">
        <f aca="false">IF(F$5="A",Inputs_Actuals!F166,IF(Assumptions!F$201&lt;Project_Register!$I$13,0,Project_Register!$F$13*F67-E93))</f>
        <v>0</v>
      </c>
      <c r="G80" s="67" t="n">
        <f aca="false">IF(G$5="A",Inputs_Actuals!G166,IF(Assumptions!G$201&lt;Project_Register!$I$13,0,Project_Register!$F$13*G67-F93))</f>
        <v>0</v>
      </c>
      <c r="H80" s="67" t="n">
        <f aca="false">IF(H$5="A",Inputs_Actuals!H166,IF(Assumptions!H$201&lt;Project_Register!$I$13,0,Project_Register!$F$13*H67-G93))</f>
        <v>0</v>
      </c>
      <c r="I80" s="67" t="n">
        <f aca="false">IF(I$5="A",Inputs_Actuals!I166,IF(Assumptions!I$201&lt;Project_Register!$I$13,0,Project_Register!$F$13*I67-H93))</f>
        <v>0</v>
      </c>
      <c r="J80" s="67" t="n">
        <f aca="false">IF(J$5="A",Inputs_Actuals!J166,IF(Assumptions!J$201&lt;Project_Register!$I$13,0,Project_Register!$F$13*J67-I93))</f>
        <v>7680.85</v>
      </c>
      <c r="K80" s="67" t="n">
        <f aca="false">IF(K$5="A",Inputs_Actuals!K166,IF(Assumptions!K$201&lt;Project_Register!$I$13,0,Project_Register!$F$13*K67-J93))</f>
        <v>10510.64</v>
      </c>
      <c r="L80" s="67" t="n">
        <f aca="false">IF(L$5="A",Inputs_Actuals!L166,IF(Assumptions!L$201&lt;Project_Register!$I$13,0,Project_Register!$F$13*L67-K93))</f>
        <v>6872.34</v>
      </c>
      <c r="M80" s="67" t="n">
        <f aca="false">IF(M$5="A",Inputs_Actuals!M166,IF(Assumptions!M$201&lt;Project_Register!$I$13,0,Project_Register!$F$13*M67-L93))</f>
        <v>12936.17</v>
      </c>
      <c r="N80" s="67" t="n">
        <f aca="false">IF(N$5="A",Inputs_Actuals!N166,IF(Assumptions!N$201&lt;Project_Register!$I$13,0,Project_Register!$F$13*N67-M93))</f>
        <v>0</v>
      </c>
      <c r="O80" s="67" t="n">
        <f aca="false">IF(O$5="A",Inputs_Actuals!O166,IF(Assumptions!O$201&lt;Project_Register!$I$13,0,Project_Register!$F$13*O67-N93))</f>
        <v>0</v>
      </c>
      <c r="P80" s="67" t="n">
        <f aca="false">IF(P$5="A",Inputs_Actuals!P166,IF(Assumptions!P$201&lt;Project_Register!$I$13,0,Project_Register!$F$13*P67-O93))</f>
        <v>0</v>
      </c>
      <c r="Q80" s="67" t="n">
        <f aca="false">IF(Q$5="A",Inputs_Actuals!Q166,IF(Assumptions!Q$201&lt;Project_Register!$I$13,0,Project_Register!$F$13*Q67-P93))</f>
        <v>0</v>
      </c>
      <c r="R80" s="67" t="n">
        <f aca="false">IF(R$5="A",Inputs_Actuals!R166,IF(Assumptions!R$201&lt;Project_Register!$I$13,0,Project_Register!$F$13*R67-Q93))</f>
        <v>0</v>
      </c>
      <c r="S80" s="67" t="n">
        <f aca="false">IF(S$5="A",Inputs_Actuals!S166,IF(Assumptions!S$201&lt;Project_Register!$I$13,0,Project_Register!$F$13*S67-R93))</f>
        <v>0</v>
      </c>
      <c r="T80" s="67" t="n">
        <f aca="false">IF(T$5="A",Inputs_Actuals!T166,IF(Assumptions!T$201&lt;Project_Register!$I$13,0,Project_Register!$F$13*T67-S93))</f>
        <v>0</v>
      </c>
      <c r="U80" s="67" t="n">
        <f aca="false">IF(U$5="A",Inputs_Actuals!U166,IF(Assumptions!U$201&lt;Project_Register!$I$13,0,Project_Register!$F$13*U67-T93))</f>
        <v>0</v>
      </c>
      <c r="V80" s="67" t="n">
        <f aca="false">IF(V$5="A",Inputs_Actuals!V166,IF(Assumptions!V$201&lt;Project_Register!$I$13,0,Project_Register!$F$13*V67-U93))</f>
        <v>0</v>
      </c>
      <c r="W80" s="67" t="n">
        <f aca="false">IF(W$5="A",Inputs_Actuals!W166,IF(Assumptions!W$201&lt;Project_Register!$I$13,0,Project_Register!$F$13*W67-V93))</f>
        <v>0</v>
      </c>
      <c r="X80" s="67" t="n">
        <f aca="false">IF(X$5="A",Inputs_Actuals!X166,IF(Assumptions!X$201&lt;Project_Register!$I$13,0,Project_Register!$F$13*X67-W93))</f>
        <v>0</v>
      </c>
      <c r="Y80" s="67" t="n">
        <f aca="false">IF(Y$5="A",Inputs_Actuals!Y166,IF(Assumptions!Y$201&lt;Project_Register!$I$13,0,Project_Register!$F$13*Y67-X93))</f>
        <v>0</v>
      </c>
      <c r="Z80" s="67" t="n">
        <f aca="false">IF(Z$5="A",Inputs_Actuals!Z166,IF(Assumptions!Z$201&lt;Project_Register!$I$13,0,Project_Register!$F$13*Z67-Y93))</f>
        <v>0</v>
      </c>
      <c r="AA80" s="67" t="n">
        <f aca="false">IF(AA$5="A",Inputs_Actuals!AA166,IF(Assumptions!AA$201&lt;Project_Register!$I$13,0,Project_Register!$F$13*AA67-Z93))</f>
        <v>0</v>
      </c>
      <c r="AB80" s="67" t="n">
        <f aca="false">IF(AB$5="A",Inputs_Actuals!AB166,IF(Assumptions!AB$201&lt;Project_Register!$I$13,0,Project_Register!$F$13*AB67-AA93))</f>
        <v>0</v>
      </c>
    </row>
    <row r="81" customFormat="false" ht="15" hidden="false" customHeight="false" outlineLevel="0" collapsed="false">
      <c r="A81" s="27" t="s">
        <v>947</v>
      </c>
      <c r="B81" s="63"/>
      <c r="C81" s="66" t="n">
        <f aca="false">SUM(E81:P81)</f>
        <v>70400</v>
      </c>
      <c r="D81" s="66" t="n">
        <f aca="false">SUM(Q81:AB81)</f>
        <v>17600</v>
      </c>
      <c r="E81" s="67" t="n">
        <f aca="false">IF(E$5="A",Inputs_Actuals!E169,IF(Assumptions!E$201&lt;Project_Register!$I$14,0,Project_Register!$F$14*E68-Project_Register!$O$14))</f>
        <v>0</v>
      </c>
      <c r="F81" s="67" t="n">
        <f aca="false">IF(F$5="A",Inputs_Actuals!F169,IF(Assumptions!F$201&lt;Project_Register!$I$14,0,Project_Register!$F$14*F68-E94))</f>
        <v>0</v>
      </c>
      <c r="G81" s="67" t="n">
        <f aca="false">IF(G$5="A",Inputs_Actuals!G169,IF(Assumptions!G$201&lt;Project_Register!$I$14,0,Project_Register!$F$14*G68-F94))</f>
        <v>0</v>
      </c>
      <c r="H81" s="67" t="n">
        <f aca="false">IF(H$5="A",Inputs_Actuals!H169,IF(Assumptions!H$201&lt;Project_Register!$I$14,0,Project_Register!$F$14*H68-G94))</f>
        <v>0</v>
      </c>
      <c r="I81" s="67" t="n">
        <f aca="false">IF(I$5="A",Inputs_Actuals!I169,IF(Assumptions!I$201&lt;Project_Register!$I$14,0,Project_Register!$F$14*I68-H94))</f>
        <v>0</v>
      </c>
      <c r="J81" s="67" t="n">
        <f aca="false">IF(J$5="A",Inputs_Actuals!J169,IF(Assumptions!J$201&lt;Project_Register!$I$14,0,Project_Register!$F$14*J68-I94))</f>
        <v>0</v>
      </c>
      <c r="K81" s="67" t="n">
        <f aca="false">IF(K$5="A",Inputs_Actuals!K169,IF(Assumptions!K$201&lt;Project_Register!$I$14,0,Project_Register!$F$14*K68-J94))</f>
        <v>0</v>
      </c>
      <c r="L81" s="67" t="n">
        <f aca="false">IF(L$5="A",Inputs_Actuals!L169,IF(Assumptions!L$201&lt;Project_Register!$I$14,0,Project_Register!$F$14*L68-K94))</f>
        <v>0</v>
      </c>
      <c r="M81" s="67" t="n">
        <f aca="false">IF(M$5="A",Inputs_Actuals!M169,IF(Assumptions!M$201&lt;Project_Register!$I$14,0,Project_Register!$F$14*M68-L94))</f>
        <v>17600</v>
      </c>
      <c r="N81" s="67" t="n">
        <f aca="false">IF(N$5="A",Inputs_Actuals!N169,IF(Assumptions!N$201&lt;Project_Register!$I$14,0,Project_Register!$F$14*N68-M94))</f>
        <v>17600</v>
      </c>
      <c r="O81" s="67" t="n">
        <f aca="false">IF(O$5="A",Inputs_Actuals!O169,IF(Assumptions!O$201&lt;Project_Register!$I$14,0,Project_Register!$F$14*O68-N94))</f>
        <v>17600</v>
      </c>
      <c r="P81" s="67" t="n">
        <f aca="false">IF(P$5="A",Inputs_Actuals!P169,IF(Assumptions!P$201&lt;Project_Register!$I$14,0,Project_Register!$F$14*P68-O94))</f>
        <v>17600</v>
      </c>
      <c r="Q81" s="67" t="n">
        <f aca="false">IF(Q$5="A",Inputs_Actuals!Q169,IF(Assumptions!Q$201&lt;Project_Register!$I$14,0,Project_Register!$F$14*Q68-P94))</f>
        <v>17600</v>
      </c>
      <c r="R81" s="67" t="n">
        <f aca="false">IF(R$5="A",Inputs_Actuals!R169,IF(Assumptions!R$201&lt;Project_Register!$I$14,0,Project_Register!$F$14*R68-Q94))</f>
        <v>0</v>
      </c>
      <c r="S81" s="67" t="n">
        <f aca="false">IF(S$5="A",Inputs_Actuals!S169,IF(Assumptions!S$201&lt;Project_Register!$I$14,0,Project_Register!$F$14*S68-R94))</f>
        <v>0</v>
      </c>
      <c r="T81" s="67" t="n">
        <f aca="false">IF(T$5="A",Inputs_Actuals!T169,IF(Assumptions!T$201&lt;Project_Register!$I$14,0,Project_Register!$F$14*T68-S94))</f>
        <v>0</v>
      </c>
      <c r="U81" s="67" t="n">
        <f aca="false">IF(U$5="A",Inputs_Actuals!U169,IF(Assumptions!U$201&lt;Project_Register!$I$14,0,Project_Register!$F$14*U68-T94))</f>
        <v>0</v>
      </c>
      <c r="V81" s="67" t="n">
        <f aca="false">IF(V$5="A",Inputs_Actuals!V169,IF(Assumptions!V$201&lt;Project_Register!$I$14,0,Project_Register!$F$14*V68-U94))</f>
        <v>0</v>
      </c>
      <c r="W81" s="67" t="n">
        <f aca="false">IF(W$5="A",Inputs_Actuals!W169,IF(Assumptions!W$201&lt;Project_Register!$I$14,0,Project_Register!$F$14*W68-V94))</f>
        <v>0</v>
      </c>
      <c r="X81" s="67" t="n">
        <f aca="false">IF(X$5="A",Inputs_Actuals!X169,IF(Assumptions!X$201&lt;Project_Register!$I$14,0,Project_Register!$F$14*X68-W94))</f>
        <v>0</v>
      </c>
      <c r="Y81" s="67" t="n">
        <f aca="false">IF(Y$5="A",Inputs_Actuals!Y169,IF(Assumptions!Y$201&lt;Project_Register!$I$14,0,Project_Register!$F$14*Y68-X94))</f>
        <v>0</v>
      </c>
      <c r="Z81" s="67" t="n">
        <f aca="false">IF(Z$5="A",Inputs_Actuals!Z169,IF(Assumptions!Z$201&lt;Project_Register!$I$14,0,Project_Register!$F$14*Z68-Y94))</f>
        <v>0</v>
      </c>
      <c r="AA81" s="67" t="n">
        <f aca="false">IF(AA$5="A",Inputs_Actuals!AA169,IF(Assumptions!AA$201&lt;Project_Register!$I$14,0,Project_Register!$F$14*AA68-Z94))</f>
        <v>0</v>
      </c>
      <c r="AB81" s="67" t="n">
        <f aca="false">IF(AB$5="A",Inputs_Actuals!AB169,IF(Assumptions!AB$201&lt;Project_Register!$I$14,0,Project_Register!$F$14*AB68-AA94))</f>
        <v>0</v>
      </c>
    </row>
    <row r="82" customFormat="false" ht="15" hidden="false" customHeight="false" outlineLevel="0" collapsed="false">
      <c r="A82" s="27" t="s">
        <v>948</v>
      </c>
      <c r="B82" s="63"/>
      <c r="C82" s="66" t="n">
        <f aca="false">SUM(E82:P82)</f>
        <v>61440</v>
      </c>
      <c r="D82" s="66" t="n">
        <f aca="false">SUM(Q82:AB82)</f>
        <v>0</v>
      </c>
      <c r="E82" s="67" t="n">
        <f aca="false">IF(E$5="A",Inputs_Actuals!E172,(E17+E30)*Project_Register!$F$15)</f>
        <v>4992</v>
      </c>
      <c r="F82" s="67" t="n">
        <f aca="false">IF(F$5="A",Inputs_Actuals!F172,(F17+F30)*Project_Register!$F$15)</f>
        <v>5248</v>
      </c>
      <c r="G82" s="67" t="n">
        <f aca="false">IF(G$5="A",Inputs_Actuals!G172,(G17+G30)*Project_Register!$F$15)</f>
        <v>5120</v>
      </c>
      <c r="H82" s="67" t="n">
        <f aca="false">IF(H$5="A",Inputs_Actuals!H172,(H17+H30)*Project_Register!$F$15)</f>
        <v>5056</v>
      </c>
      <c r="I82" s="67" t="n">
        <f aca="false">IF(I$5="A",Inputs_Actuals!I172,(I17+I30)*Project_Register!$F$15)</f>
        <v>5184</v>
      </c>
      <c r="J82" s="67" t="n">
        <f aca="false">IF(J$5="A",Inputs_Actuals!J172,(J17+J30)*Project_Register!$F$15)</f>
        <v>5312</v>
      </c>
      <c r="K82" s="67" t="n">
        <f aca="false">IF(K$5="A",Inputs_Actuals!K172,(K17+K30)*Project_Register!$F$15)</f>
        <v>5120</v>
      </c>
      <c r="L82" s="67" t="n">
        <f aca="false">IF(L$5="A",Inputs_Actuals!L172,(L17+L30)*Project_Register!$F$15)</f>
        <v>3712</v>
      </c>
      <c r="M82" s="67" t="n">
        <f aca="false">IF(M$5="A",Inputs_Actuals!M172,(M17+M30)*Project_Register!$F$15)</f>
        <v>5424</v>
      </c>
      <c r="N82" s="67" t="n">
        <f aca="false">IF(N$5="A",Inputs_Actuals!N172,(N17+N30)*Project_Register!$F$15)</f>
        <v>5424</v>
      </c>
      <c r="O82" s="67" t="n">
        <f aca="false">IF(O$5="A",Inputs_Actuals!O172,(O17+O30)*Project_Register!$F$15)</f>
        <v>5424</v>
      </c>
      <c r="P82" s="67" t="n">
        <f aca="false">IF(P$5="A",Inputs_Actuals!P172,(P17+P30)*Project_Register!$F$15)</f>
        <v>5424</v>
      </c>
      <c r="Q82" s="67" t="n">
        <f aca="false">IF(Q$5="A",Inputs_Actuals!Q172,(Q17+Q30)*Project_Register!$F$15)</f>
        <v>0</v>
      </c>
      <c r="R82" s="67" t="n">
        <f aca="false">IF(R$5="A",Inputs_Actuals!R172,(R17+R30)*Project_Register!$F$15)</f>
        <v>0</v>
      </c>
      <c r="S82" s="67" t="n">
        <f aca="false">IF(S$5="A",Inputs_Actuals!S172,(S17+S30)*Project_Register!$F$15)</f>
        <v>0</v>
      </c>
      <c r="T82" s="67" t="n">
        <f aca="false">IF(T$5="A",Inputs_Actuals!T172,(T17+T30)*Project_Register!$F$15)</f>
        <v>0</v>
      </c>
      <c r="U82" s="67" t="n">
        <f aca="false">IF(U$5="A",Inputs_Actuals!U172,(U17+U30)*Project_Register!$F$15)</f>
        <v>0</v>
      </c>
      <c r="V82" s="67" t="n">
        <f aca="false">IF(V$5="A",Inputs_Actuals!V172,(V17+V30)*Project_Register!$F$15)</f>
        <v>0</v>
      </c>
      <c r="W82" s="67" t="n">
        <f aca="false">IF(W$5="A",Inputs_Actuals!W172,(W17+W30)*Project_Register!$F$15)</f>
        <v>0</v>
      </c>
      <c r="X82" s="67" t="n">
        <f aca="false">IF(X$5="A",Inputs_Actuals!X172,(X17+X30)*Project_Register!$F$15)</f>
        <v>0</v>
      </c>
      <c r="Y82" s="67" t="n">
        <f aca="false">IF(Y$5="A",Inputs_Actuals!Y172,(Y17+Y30)*Project_Register!$F$15)</f>
        <v>0</v>
      </c>
      <c r="Z82" s="67" t="n">
        <f aca="false">IF(Z$5="A",Inputs_Actuals!Z172,(Z17+Z30)*Project_Register!$F$15)</f>
        <v>0</v>
      </c>
      <c r="AA82" s="67" t="n">
        <f aca="false">IF(AA$5="A",Inputs_Actuals!AA172,(AA17+AA30)*Project_Register!$F$15)</f>
        <v>0</v>
      </c>
      <c r="AB82" s="67" t="n">
        <f aca="false">IF(AB$5="A",Inputs_Actuals!AB172,(AB17+AB30)*Project_Register!$F$15)</f>
        <v>0</v>
      </c>
    </row>
    <row r="83" customFormat="false" ht="15" hidden="false" customHeight="false" outlineLevel="0" collapsed="false">
      <c r="A83" s="27" t="s">
        <v>949</v>
      </c>
      <c r="B83" s="63"/>
      <c r="C83" s="66" t="n">
        <f aca="false">SUM(E83:P83)</f>
        <v>36000</v>
      </c>
      <c r="D83" s="66" t="n">
        <f aca="false">SUM(Q83:AB83)</f>
        <v>0</v>
      </c>
      <c r="E83" s="67" t="n">
        <f aca="false">IF(E$5="A",Inputs_Actuals!E175,IF(Assumptions!E$201&lt;Project_Register!$I$16,0,Project_Register!$F$16*E70-Project_Register!$O$16))</f>
        <v>0</v>
      </c>
      <c r="F83" s="67" t="n">
        <f aca="false">IF(F$5="A",Inputs_Actuals!F175,IF(Assumptions!F$201&lt;Project_Register!$I$16,0,Project_Register!$F$16*F70-E96))</f>
        <v>0</v>
      </c>
      <c r="G83" s="67" t="n">
        <f aca="false">IF(G$5="A",Inputs_Actuals!G175,IF(Assumptions!G$201&lt;Project_Register!$I$16,0,Project_Register!$F$16*G70-F96))</f>
        <v>0</v>
      </c>
      <c r="H83" s="67" t="n">
        <f aca="false">IF(H$5="A",Inputs_Actuals!H175,IF(Assumptions!H$201&lt;Project_Register!$I$16,0,Project_Register!$F$16*H70-G96))</f>
        <v>0</v>
      </c>
      <c r="I83" s="67" t="n">
        <f aca="false">IF(I$5="A",Inputs_Actuals!I175,IF(Assumptions!I$201&lt;Project_Register!$I$16,0,Project_Register!$F$16*I70-H96))</f>
        <v>0</v>
      </c>
      <c r="J83" s="67" t="n">
        <f aca="false">IF(J$5="A",Inputs_Actuals!J175,IF(Assumptions!J$201&lt;Project_Register!$I$16,0,Project_Register!$F$16*J70-I96))</f>
        <v>0</v>
      </c>
      <c r="K83" s="67" t="n">
        <f aca="false">IF(K$5="A",Inputs_Actuals!K175,IF(Assumptions!K$201&lt;Project_Register!$I$16,0,Project_Register!$F$16*K70-J96))</f>
        <v>10400</v>
      </c>
      <c r="L83" s="67" t="n">
        <f aca="false">IF(L$5="A",Inputs_Actuals!L175,IF(Assumptions!L$201&lt;Project_Register!$I$16,0,Project_Register!$F$16*L70-K96))</f>
        <v>7600</v>
      </c>
      <c r="M83" s="67" t="n">
        <f aca="false">IF(M$5="A",Inputs_Actuals!M175,IF(Assumptions!M$201&lt;Project_Register!$I$16,0,Project_Register!$F$16*M70-L96))</f>
        <v>18000</v>
      </c>
      <c r="N83" s="67" t="n">
        <f aca="false">IF(N$5="A",Inputs_Actuals!N175,IF(Assumptions!N$201&lt;Project_Register!$I$16,0,Project_Register!$F$16*N70-M96))</f>
        <v>0</v>
      </c>
      <c r="O83" s="67" t="n">
        <f aca="false">IF(O$5="A",Inputs_Actuals!O175,IF(Assumptions!O$201&lt;Project_Register!$I$16,0,Project_Register!$F$16*O70-N96))</f>
        <v>0</v>
      </c>
      <c r="P83" s="67" t="n">
        <f aca="false">IF(P$5="A",Inputs_Actuals!P175,IF(Assumptions!P$201&lt;Project_Register!$I$16,0,Project_Register!$F$16*P70-O96))</f>
        <v>0</v>
      </c>
      <c r="Q83" s="67" t="n">
        <f aca="false">IF(Q$5="A",Inputs_Actuals!Q175,IF(Assumptions!Q$201&lt;Project_Register!$I$16,0,Project_Register!$F$16*Q70-P96))</f>
        <v>0</v>
      </c>
      <c r="R83" s="67" t="n">
        <f aca="false">IF(R$5="A",Inputs_Actuals!R175,IF(Assumptions!R$201&lt;Project_Register!$I$16,0,Project_Register!$F$16*R70-Q96))</f>
        <v>0</v>
      </c>
      <c r="S83" s="67" t="n">
        <f aca="false">IF(S$5="A",Inputs_Actuals!S175,IF(Assumptions!S$201&lt;Project_Register!$I$16,0,Project_Register!$F$16*S70-R96))</f>
        <v>0</v>
      </c>
      <c r="T83" s="67" t="n">
        <f aca="false">IF(T$5="A",Inputs_Actuals!T175,IF(Assumptions!T$201&lt;Project_Register!$I$16,0,Project_Register!$F$16*T70-S96))</f>
        <v>0</v>
      </c>
      <c r="U83" s="67" t="n">
        <f aca="false">IF(U$5="A",Inputs_Actuals!U175,IF(Assumptions!U$201&lt;Project_Register!$I$16,0,Project_Register!$F$16*U70-T96))</f>
        <v>0</v>
      </c>
      <c r="V83" s="67" t="n">
        <f aca="false">IF(V$5="A",Inputs_Actuals!V175,IF(Assumptions!V$201&lt;Project_Register!$I$16,0,Project_Register!$F$16*V70-U96))</f>
        <v>0</v>
      </c>
      <c r="W83" s="67" t="n">
        <f aca="false">IF(W$5="A",Inputs_Actuals!W175,IF(Assumptions!W$201&lt;Project_Register!$I$16,0,Project_Register!$F$16*W70-V96))</f>
        <v>0</v>
      </c>
      <c r="X83" s="67" t="n">
        <f aca="false">IF(X$5="A",Inputs_Actuals!X175,IF(Assumptions!X$201&lt;Project_Register!$I$16,0,Project_Register!$F$16*X70-W96))</f>
        <v>0</v>
      </c>
      <c r="Y83" s="67" t="n">
        <f aca="false">IF(Y$5="A",Inputs_Actuals!Y175,IF(Assumptions!Y$201&lt;Project_Register!$I$16,0,Project_Register!$F$16*Y70-X96))</f>
        <v>0</v>
      </c>
      <c r="Z83" s="67" t="n">
        <f aca="false">IF(Z$5="A",Inputs_Actuals!Z175,IF(Assumptions!Z$201&lt;Project_Register!$I$16,0,Project_Register!$F$16*Z70-Y96))</f>
        <v>0</v>
      </c>
      <c r="AA83" s="67" t="n">
        <f aca="false">IF(AA$5="A",Inputs_Actuals!AA175,IF(Assumptions!AA$201&lt;Project_Register!$I$16,0,Project_Register!$F$16*AA70-Z96))</f>
        <v>0</v>
      </c>
      <c r="AB83" s="67" t="n">
        <f aca="false">IF(AB$5="A",Inputs_Actuals!AB175,IF(Assumptions!AB$201&lt;Project_Register!$I$16,0,Project_Register!$F$16*AB70-AA96))</f>
        <v>0</v>
      </c>
    </row>
    <row r="84" customFormat="false" ht="15" hidden="false" customHeight="false" outlineLevel="0" collapsed="false">
      <c r="A84" s="27" t="s">
        <v>950</v>
      </c>
      <c r="B84" s="63"/>
      <c r="C84" s="66" t="n">
        <f aca="false">SUM(E84:P84)</f>
        <v>72000</v>
      </c>
      <c r="D84" s="66" t="n">
        <f aca="false">SUM(Q84:AB84)</f>
        <v>0</v>
      </c>
      <c r="E84" s="67" t="n">
        <f aca="false">IF(E$5="A",Inputs_Actuals!E178,IF(Assumptions!E$201&lt;Project_Register!$I$17,0,Project_Register!$F$17*E71-Project_Register!$O$17))</f>
        <v>9818.18</v>
      </c>
      <c r="F84" s="67" t="n">
        <f aca="false">IF(F$5="A",Inputs_Actuals!F178,IF(Assumptions!F$201&lt;Project_Register!$I$17,0,Project_Register!$F$17*F71-E97))</f>
        <v>13090.91</v>
      </c>
      <c r="G84" s="67" t="n">
        <f aca="false">IF(G$5="A",Inputs_Actuals!G178,IF(Assumptions!G$201&lt;Project_Register!$I$17,0,Project_Register!$F$17*G71-F97))</f>
        <v>13909.09</v>
      </c>
      <c r="H84" s="67" t="n">
        <f aca="false">IF(H$5="A",Inputs_Actuals!H178,IF(Assumptions!H$201&lt;Project_Register!$I$17,0,Project_Register!$F$17*H71-G97))</f>
        <v>13090.91</v>
      </c>
      <c r="I84" s="67" t="n">
        <f aca="false">IF(I$5="A",Inputs_Actuals!I178,IF(Assumptions!I$201&lt;Project_Register!$I$17,0,Project_Register!$F$17*I71-H97))</f>
        <v>12272.73</v>
      </c>
      <c r="J84" s="67" t="n">
        <f aca="false">IF(J$5="A",Inputs_Actuals!J178,IF(Assumptions!J$201&lt;Project_Register!$I$17,0,Project_Register!$F$17*J71-I97))</f>
        <v>9818.18</v>
      </c>
      <c r="K84" s="67" t="n">
        <f aca="false">IF(K$5="A",Inputs_Actuals!K178,IF(Assumptions!K$201&lt;Project_Register!$I$17,0,Project_Register!$F$17*K71-J97))</f>
        <v>0</v>
      </c>
      <c r="L84" s="67" t="n">
        <f aca="false">IF(L$5="A",Inputs_Actuals!L178,IF(Assumptions!L$201&lt;Project_Register!$I$17,0,Project_Register!$F$17*L71-K97))</f>
        <v>0</v>
      </c>
      <c r="M84" s="67" t="n">
        <f aca="false">IF(M$5="A",Inputs_Actuals!M178,IF(Assumptions!M$201&lt;Project_Register!$I$17,0,Project_Register!$F$17*M71-L97))</f>
        <v>0</v>
      </c>
      <c r="N84" s="67" t="n">
        <f aca="false">IF(N$5="A",Inputs_Actuals!N178,IF(Assumptions!N$201&lt;Project_Register!$I$17,0,Project_Register!$F$17*N71-M97))</f>
        <v>0</v>
      </c>
      <c r="O84" s="67" t="n">
        <f aca="false">IF(O$5="A",Inputs_Actuals!O178,IF(Assumptions!O$201&lt;Project_Register!$I$17,0,Project_Register!$F$17*O71-N97))</f>
        <v>0</v>
      </c>
      <c r="P84" s="67" t="n">
        <f aca="false">IF(P$5="A",Inputs_Actuals!P178,IF(Assumptions!P$201&lt;Project_Register!$I$17,0,Project_Register!$F$17*P71-O97))</f>
        <v>0</v>
      </c>
      <c r="Q84" s="67" t="n">
        <f aca="false">IF(Q$5="A",Inputs_Actuals!Q178,IF(Assumptions!Q$201&lt;Project_Register!$I$17,0,Project_Register!$F$17*Q71-P97))</f>
        <v>0</v>
      </c>
      <c r="R84" s="67" t="n">
        <f aca="false">IF(R$5="A",Inputs_Actuals!R178,IF(Assumptions!R$201&lt;Project_Register!$I$17,0,Project_Register!$F$17*R71-Q97))</f>
        <v>0</v>
      </c>
      <c r="S84" s="67" t="n">
        <f aca="false">IF(S$5="A",Inputs_Actuals!S178,IF(Assumptions!S$201&lt;Project_Register!$I$17,0,Project_Register!$F$17*S71-R97))</f>
        <v>0</v>
      </c>
      <c r="T84" s="67" t="n">
        <f aca="false">IF(T$5="A",Inputs_Actuals!T178,IF(Assumptions!T$201&lt;Project_Register!$I$17,0,Project_Register!$F$17*T71-S97))</f>
        <v>0</v>
      </c>
      <c r="U84" s="67" t="n">
        <f aca="false">IF(U$5="A",Inputs_Actuals!U178,IF(Assumptions!U$201&lt;Project_Register!$I$17,0,Project_Register!$F$17*U71-T97))</f>
        <v>0</v>
      </c>
      <c r="V84" s="67" t="n">
        <f aca="false">IF(V$5="A",Inputs_Actuals!V178,IF(Assumptions!V$201&lt;Project_Register!$I$17,0,Project_Register!$F$17*V71-U97))</f>
        <v>0</v>
      </c>
      <c r="W84" s="67" t="n">
        <f aca="false">IF(W$5="A",Inputs_Actuals!W178,IF(Assumptions!W$201&lt;Project_Register!$I$17,0,Project_Register!$F$17*W71-V97))</f>
        <v>0</v>
      </c>
      <c r="X84" s="67" t="n">
        <f aca="false">IF(X$5="A",Inputs_Actuals!X178,IF(Assumptions!X$201&lt;Project_Register!$I$17,0,Project_Register!$F$17*X71-W97))</f>
        <v>0</v>
      </c>
      <c r="Y84" s="67" t="n">
        <f aca="false">IF(Y$5="A",Inputs_Actuals!Y178,IF(Assumptions!Y$201&lt;Project_Register!$I$17,0,Project_Register!$F$17*Y71-X97))</f>
        <v>0</v>
      </c>
      <c r="Z84" s="67" t="n">
        <f aca="false">IF(Z$5="A",Inputs_Actuals!Z178,IF(Assumptions!Z$201&lt;Project_Register!$I$17,0,Project_Register!$F$17*Z71-Y97))</f>
        <v>0</v>
      </c>
      <c r="AA84" s="67" t="n">
        <f aca="false">IF(AA$5="A",Inputs_Actuals!AA178,IF(Assumptions!AA$201&lt;Project_Register!$I$17,0,Project_Register!$F$17*AA71-Z97))</f>
        <v>0</v>
      </c>
      <c r="AB84" s="67" t="n">
        <f aca="false">IF(AB$5="A",Inputs_Actuals!AB178,IF(Assumptions!AB$201&lt;Project_Register!$I$17,0,Project_Register!$F$17*AB71-AA97))</f>
        <v>0</v>
      </c>
    </row>
    <row r="85" customFormat="false" ht="15" hidden="false" customHeight="false" outlineLevel="0" collapsed="false">
      <c r="A85" s="27" t="s">
        <v>951</v>
      </c>
      <c r="B85" s="63"/>
      <c r="C85" s="66" t="n">
        <f aca="false">SUM(E85:P85)</f>
        <v>24000</v>
      </c>
      <c r="D85" s="66" t="n">
        <f aca="false">SUM(Q85:AB85)</f>
        <v>0</v>
      </c>
      <c r="E85" s="67" t="n">
        <f aca="false">IF(E$5="A",Inputs_Actuals!E181,IF(Assumptions!E$201&lt;Project_Register!$I$18,0,Project_Register!$F$18*E72-Project_Register!$O$18))</f>
        <v>0</v>
      </c>
      <c r="F85" s="67" t="n">
        <f aca="false">IF(F$5="A",Inputs_Actuals!F181,IF(Assumptions!F$201&lt;Project_Register!$I$18,0,Project_Register!$F$18*F72-E98))</f>
        <v>0</v>
      </c>
      <c r="G85" s="67" t="n">
        <f aca="false">IF(G$5="A",Inputs_Actuals!G181,IF(Assumptions!G$201&lt;Project_Register!$I$18,0,Project_Register!$F$18*G72-F98))</f>
        <v>0</v>
      </c>
      <c r="H85" s="67" t="n">
        <f aca="false">IF(H$5="A",Inputs_Actuals!H181,IF(Assumptions!H$201&lt;Project_Register!$I$18,0,Project_Register!$F$18*H72-G98))</f>
        <v>0</v>
      </c>
      <c r="I85" s="67" t="n">
        <f aca="false">IF(I$5="A",Inputs_Actuals!I181,IF(Assumptions!I$201&lt;Project_Register!$I$18,0,Project_Register!$F$18*I72-H98))</f>
        <v>7200</v>
      </c>
      <c r="J85" s="67" t="n">
        <f aca="false">IF(J$5="A",Inputs_Actuals!J181,IF(Assumptions!J$201&lt;Project_Register!$I$18,0,Project_Register!$F$18*J72-I98))</f>
        <v>9600</v>
      </c>
      <c r="K85" s="67" t="n">
        <f aca="false">IF(K$5="A",Inputs_Actuals!K181,IF(Assumptions!K$201&lt;Project_Register!$I$18,0,Project_Register!$F$18*K72-J98))</f>
        <v>7200</v>
      </c>
      <c r="L85" s="67" t="n">
        <f aca="false">IF(L$5="A",Inputs_Actuals!L181,IF(Assumptions!L$201&lt;Project_Register!$I$18,0,Project_Register!$F$18*L72-K98))</f>
        <v>0</v>
      </c>
      <c r="M85" s="67" t="n">
        <f aca="false">IF(M$5="A",Inputs_Actuals!M181,IF(Assumptions!M$201&lt;Project_Register!$I$18,0,Project_Register!$F$18*M72-L98))</f>
        <v>0</v>
      </c>
      <c r="N85" s="67" t="n">
        <f aca="false">IF(N$5="A",Inputs_Actuals!N181,IF(Assumptions!N$201&lt;Project_Register!$I$18,0,Project_Register!$F$18*N72-M98))</f>
        <v>0</v>
      </c>
      <c r="O85" s="67" t="n">
        <f aca="false">IF(O$5="A",Inputs_Actuals!O181,IF(Assumptions!O$201&lt;Project_Register!$I$18,0,Project_Register!$F$18*O72-N98))</f>
        <v>0</v>
      </c>
      <c r="P85" s="67" t="n">
        <f aca="false">IF(P$5="A",Inputs_Actuals!P181,IF(Assumptions!P$201&lt;Project_Register!$I$18,0,Project_Register!$F$18*P72-O98))</f>
        <v>0</v>
      </c>
      <c r="Q85" s="67" t="n">
        <f aca="false">IF(Q$5="A",Inputs_Actuals!Q181,IF(Assumptions!Q$201&lt;Project_Register!$I$18,0,Project_Register!$F$18*Q72-P98))</f>
        <v>0</v>
      </c>
      <c r="R85" s="67" t="n">
        <f aca="false">IF(R$5="A",Inputs_Actuals!R181,IF(Assumptions!R$201&lt;Project_Register!$I$18,0,Project_Register!$F$18*R72-Q98))</f>
        <v>0</v>
      </c>
      <c r="S85" s="67" t="n">
        <f aca="false">IF(S$5="A",Inputs_Actuals!S181,IF(Assumptions!S$201&lt;Project_Register!$I$18,0,Project_Register!$F$18*S72-R98))</f>
        <v>0</v>
      </c>
      <c r="T85" s="67" t="n">
        <f aca="false">IF(T$5="A",Inputs_Actuals!T181,IF(Assumptions!T$201&lt;Project_Register!$I$18,0,Project_Register!$F$18*T72-S98))</f>
        <v>0</v>
      </c>
      <c r="U85" s="67" t="n">
        <f aca="false">IF(U$5="A",Inputs_Actuals!U181,IF(Assumptions!U$201&lt;Project_Register!$I$18,0,Project_Register!$F$18*U72-T98))</f>
        <v>0</v>
      </c>
      <c r="V85" s="67" t="n">
        <f aca="false">IF(V$5="A",Inputs_Actuals!V181,IF(Assumptions!V$201&lt;Project_Register!$I$18,0,Project_Register!$F$18*V72-U98))</f>
        <v>0</v>
      </c>
      <c r="W85" s="67" t="n">
        <f aca="false">IF(W$5="A",Inputs_Actuals!W181,IF(Assumptions!W$201&lt;Project_Register!$I$18,0,Project_Register!$F$18*W72-V98))</f>
        <v>0</v>
      </c>
      <c r="X85" s="67" t="n">
        <f aca="false">IF(X$5="A",Inputs_Actuals!X181,IF(Assumptions!X$201&lt;Project_Register!$I$18,0,Project_Register!$F$18*X72-W98))</f>
        <v>0</v>
      </c>
      <c r="Y85" s="67" t="n">
        <f aca="false">IF(Y$5="A",Inputs_Actuals!Y181,IF(Assumptions!Y$201&lt;Project_Register!$I$18,0,Project_Register!$F$18*Y72-X98))</f>
        <v>0</v>
      </c>
      <c r="Z85" s="67" t="n">
        <f aca="false">IF(Z$5="A",Inputs_Actuals!Z181,IF(Assumptions!Z$201&lt;Project_Register!$I$18,0,Project_Register!$F$18*Z72-Y98))</f>
        <v>0</v>
      </c>
      <c r="AA85" s="67" t="n">
        <f aca="false">IF(AA$5="A",Inputs_Actuals!AA181,IF(Assumptions!AA$201&lt;Project_Register!$I$18,0,Project_Register!$F$18*AA72-Z98))</f>
        <v>0</v>
      </c>
      <c r="AB85" s="67" t="n">
        <f aca="false">IF(AB$5="A",Inputs_Actuals!AB181,IF(Assumptions!AB$201&lt;Project_Register!$I$18,0,Project_Register!$F$18*AB72-AA98))</f>
        <v>0</v>
      </c>
    </row>
    <row r="86" customFormat="false" ht="15" hidden="false" customHeight="false" outlineLevel="0" collapsed="false">
      <c r="A86" s="21" t="s">
        <v>956</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row>
    <row r="87" customFormat="false" ht="15" hidden="false" customHeight="false" outlineLevel="0" collapsed="false">
      <c r="A87" s="27" t="s">
        <v>940</v>
      </c>
      <c r="B87" s="63"/>
      <c r="C87" s="66" t="n">
        <f aca="false">P87</f>
        <v>158000</v>
      </c>
      <c r="D87" s="66" t="n">
        <f aca="false">AB87</f>
        <v>158000</v>
      </c>
      <c r="E87" s="67" t="n">
        <f aca="false">Project_Register!$O$7+E74</f>
        <v>27360.98</v>
      </c>
      <c r="F87" s="76" t="n">
        <f aca="false">E87+F74</f>
        <v>43931.71</v>
      </c>
      <c r="G87" s="76" t="n">
        <f aca="false">F87+G74</f>
        <v>63200</v>
      </c>
      <c r="H87" s="76" t="n">
        <f aca="false">G87+H74</f>
        <v>87092.68</v>
      </c>
      <c r="I87" s="76" t="n">
        <f aca="false">H87+I74</f>
        <v>113297.56</v>
      </c>
      <c r="J87" s="76" t="n">
        <f aca="false">I87+J74</f>
        <v>82837.14</v>
      </c>
      <c r="K87" s="76" t="n">
        <f aca="false">J87+K74</f>
        <v>98185.71</v>
      </c>
      <c r="L87" s="76" t="n">
        <f aca="false">K87+L74</f>
        <v>108117.14</v>
      </c>
      <c r="M87" s="76" t="n">
        <f aca="false">L87+M74</f>
        <v>124744.761904762</v>
      </c>
      <c r="N87" s="76" t="n">
        <f aca="false">M87+N74</f>
        <v>141372.380952381</v>
      </c>
      <c r="O87" s="76" t="n">
        <f aca="false">N87+O74</f>
        <v>158000</v>
      </c>
      <c r="P87" s="76" t="n">
        <f aca="false">O87+P74</f>
        <v>158000</v>
      </c>
      <c r="Q87" s="76" t="n">
        <f aca="false">P87+Q74</f>
        <v>158000</v>
      </c>
      <c r="R87" s="76" t="n">
        <f aca="false">Q87+R74</f>
        <v>158000</v>
      </c>
      <c r="S87" s="76" t="n">
        <f aca="false">R87+S74</f>
        <v>158000</v>
      </c>
      <c r="T87" s="76" t="n">
        <f aca="false">S87+T74</f>
        <v>158000</v>
      </c>
      <c r="U87" s="76" t="n">
        <f aca="false">T87+U74</f>
        <v>158000</v>
      </c>
      <c r="V87" s="76" t="n">
        <f aca="false">U87+V74</f>
        <v>158000</v>
      </c>
      <c r="W87" s="76" t="n">
        <f aca="false">V87+W74</f>
        <v>158000</v>
      </c>
      <c r="X87" s="76" t="n">
        <f aca="false">W87+X74</f>
        <v>158000</v>
      </c>
      <c r="Y87" s="76" t="n">
        <f aca="false">X87+Y74</f>
        <v>158000</v>
      </c>
      <c r="Z87" s="76" t="n">
        <f aca="false">Y87+Z74</f>
        <v>158000</v>
      </c>
      <c r="AA87" s="76" t="n">
        <f aca="false">Z87+AA74</f>
        <v>158000</v>
      </c>
      <c r="AB87" s="76" t="n">
        <f aca="false">AA87+AB74</f>
        <v>158000</v>
      </c>
    </row>
    <row r="88" customFormat="false" ht="15" hidden="false" customHeight="false" outlineLevel="0" collapsed="false">
      <c r="A88" s="27" t="s">
        <v>941</v>
      </c>
      <c r="B88" s="63"/>
      <c r="C88" s="66" t="n">
        <f aca="false">P88</f>
        <v>64000</v>
      </c>
      <c r="D88" s="66" t="n">
        <f aca="false">AB88</f>
        <v>64000</v>
      </c>
      <c r="E88" s="67" t="n">
        <f aca="false">Project_Register!$O$8+E75</f>
        <v>13948.72</v>
      </c>
      <c r="F88" s="76" t="n">
        <f aca="false">E88+F75</f>
        <v>32820.51</v>
      </c>
      <c r="G88" s="76" t="n">
        <f aca="false">F88+G75</f>
        <v>50871.79</v>
      </c>
      <c r="H88" s="76" t="n">
        <f aca="false">G88+H75</f>
        <v>64000</v>
      </c>
      <c r="I88" s="76" t="n">
        <f aca="false">H88+I75</f>
        <v>64000</v>
      </c>
      <c r="J88" s="76" t="n">
        <f aca="false">I88+J75</f>
        <v>64000</v>
      </c>
      <c r="K88" s="76" t="n">
        <f aca="false">J88+K75</f>
        <v>64000</v>
      </c>
      <c r="L88" s="76" t="n">
        <f aca="false">K88+L75</f>
        <v>64000</v>
      </c>
      <c r="M88" s="76" t="n">
        <f aca="false">L88+M75</f>
        <v>64000</v>
      </c>
      <c r="N88" s="76" t="n">
        <f aca="false">M88+N75</f>
        <v>64000</v>
      </c>
      <c r="O88" s="76" t="n">
        <f aca="false">N88+O75</f>
        <v>64000</v>
      </c>
      <c r="P88" s="76" t="n">
        <f aca="false">O88+P75</f>
        <v>64000</v>
      </c>
      <c r="Q88" s="76" t="n">
        <f aca="false">P88+Q75</f>
        <v>64000</v>
      </c>
      <c r="R88" s="76" t="n">
        <f aca="false">Q88+R75</f>
        <v>64000</v>
      </c>
      <c r="S88" s="76" t="n">
        <f aca="false">R88+S75</f>
        <v>64000</v>
      </c>
      <c r="T88" s="76" t="n">
        <f aca="false">S88+T75</f>
        <v>64000</v>
      </c>
      <c r="U88" s="76" t="n">
        <f aca="false">T88+U75</f>
        <v>64000</v>
      </c>
      <c r="V88" s="76" t="n">
        <f aca="false">U88+V75</f>
        <v>64000</v>
      </c>
      <c r="W88" s="76" t="n">
        <f aca="false">V88+W75</f>
        <v>64000</v>
      </c>
      <c r="X88" s="76" t="n">
        <f aca="false">W88+X75</f>
        <v>64000</v>
      </c>
      <c r="Y88" s="76" t="n">
        <f aca="false">X88+Y75</f>
        <v>64000</v>
      </c>
      <c r="Z88" s="76" t="n">
        <f aca="false">Y88+Z75</f>
        <v>64000</v>
      </c>
      <c r="AA88" s="76" t="n">
        <f aca="false">Z88+AA75</f>
        <v>64000</v>
      </c>
      <c r="AB88" s="76" t="n">
        <f aca="false">AA88+AB75</f>
        <v>64000</v>
      </c>
    </row>
    <row r="89" customFormat="false" ht="15" hidden="false" customHeight="false" outlineLevel="0" collapsed="false">
      <c r="A89" s="27" t="s">
        <v>942</v>
      </c>
      <c r="B89" s="63"/>
      <c r="C89" s="66" t="n">
        <f aca="false">P89</f>
        <v>52000</v>
      </c>
      <c r="D89" s="66" t="n">
        <f aca="false">AB89</f>
        <v>52000</v>
      </c>
      <c r="E89" s="67" t="n">
        <f aca="false">Project_Register!$O$9+E76</f>
        <v>0</v>
      </c>
      <c r="F89" s="76" t="n">
        <f aca="false">E89+F76</f>
        <v>0</v>
      </c>
      <c r="G89" s="76" t="n">
        <f aca="false">F89+G76</f>
        <v>8937.5</v>
      </c>
      <c r="H89" s="76" t="n">
        <f aca="false">G89+H76</f>
        <v>21125</v>
      </c>
      <c r="I89" s="76" t="n">
        <f aca="false">H89+I76</f>
        <v>33312.5</v>
      </c>
      <c r="J89" s="76" t="n">
        <f aca="false">I89+J76</f>
        <v>44687.5</v>
      </c>
      <c r="K89" s="76" t="n">
        <f aca="false">J89+K76</f>
        <v>52000</v>
      </c>
      <c r="L89" s="76" t="n">
        <f aca="false">K89+L76</f>
        <v>52000</v>
      </c>
      <c r="M89" s="76" t="n">
        <f aca="false">L89+M76</f>
        <v>52000</v>
      </c>
      <c r="N89" s="76" t="n">
        <f aca="false">M89+N76</f>
        <v>52000</v>
      </c>
      <c r="O89" s="76" t="n">
        <f aca="false">N89+O76</f>
        <v>52000</v>
      </c>
      <c r="P89" s="76" t="n">
        <f aca="false">O89+P76</f>
        <v>52000</v>
      </c>
      <c r="Q89" s="76" t="n">
        <f aca="false">P89+Q76</f>
        <v>52000</v>
      </c>
      <c r="R89" s="76" t="n">
        <f aca="false">Q89+R76</f>
        <v>52000</v>
      </c>
      <c r="S89" s="76" t="n">
        <f aca="false">R89+S76</f>
        <v>52000</v>
      </c>
      <c r="T89" s="76" t="n">
        <f aca="false">S89+T76</f>
        <v>52000</v>
      </c>
      <c r="U89" s="76" t="n">
        <f aca="false">T89+U76</f>
        <v>52000</v>
      </c>
      <c r="V89" s="76" t="n">
        <f aca="false">U89+V76</f>
        <v>52000</v>
      </c>
      <c r="W89" s="76" t="n">
        <f aca="false">V89+W76</f>
        <v>52000</v>
      </c>
      <c r="X89" s="76" t="n">
        <f aca="false">W89+X76</f>
        <v>52000</v>
      </c>
      <c r="Y89" s="76" t="n">
        <f aca="false">X89+Y76</f>
        <v>52000</v>
      </c>
      <c r="Z89" s="76" t="n">
        <f aca="false">Y89+Z76</f>
        <v>52000</v>
      </c>
      <c r="AA89" s="76" t="n">
        <f aca="false">Z89+AA76</f>
        <v>52000</v>
      </c>
      <c r="AB89" s="76" t="n">
        <f aca="false">AA89+AB76</f>
        <v>52000</v>
      </c>
    </row>
    <row r="90" customFormat="false" ht="15" hidden="false" customHeight="false" outlineLevel="0" collapsed="false">
      <c r="A90" s="27" t="s">
        <v>943</v>
      </c>
      <c r="B90" s="63"/>
      <c r="C90" s="66" t="n">
        <f aca="false">P90</f>
        <v>59840</v>
      </c>
      <c r="D90" s="66" t="n">
        <f aca="false">AB90</f>
        <v>59840</v>
      </c>
      <c r="E90" s="67" t="n">
        <f aca="false">Project_Register!$O$10+E77</f>
        <v>0</v>
      </c>
      <c r="F90" s="76" t="n">
        <f aca="false">E90+F77</f>
        <v>6460</v>
      </c>
      <c r="G90" s="76" t="n">
        <f aca="false">F90+G77</f>
        <v>14484</v>
      </c>
      <c r="H90" s="76" t="n">
        <f aca="false">G90+H77</f>
        <v>22100</v>
      </c>
      <c r="I90" s="76" t="n">
        <f aca="false">H90+I77</f>
        <v>29580</v>
      </c>
      <c r="J90" s="76" t="n">
        <f aca="false">I90+J77</f>
        <v>37468</v>
      </c>
      <c r="K90" s="76" t="n">
        <f aca="false">J90+K77</f>
        <v>44540</v>
      </c>
      <c r="L90" s="76" t="n">
        <f aca="false">K90+L77</f>
        <v>49436</v>
      </c>
      <c r="M90" s="76" t="n">
        <f aca="false">L90+M77</f>
        <v>59840</v>
      </c>
      <c r="N90" s="76" t="n">
        <f aca="false">M90+N77</f>
        <v>59840</v>
      </c>
      <c r="O90" s="76" t="n">
        <f aca="false">N90+O77</f>
        <v>59840</v>
      </c>
      <c r="P90" s="76" t="n">
        <f aca="false">O90+P77</f>
        <v>59840</v>
      </c>
      <c r="Q90" s="76" t="n">
        <f aca="false">P90+Q77</f>
        <v>59840</v>
      </c>
      <c r="R90" s="76" t="n">
        <f aca="false">Q90+R77</f>
        <v>59840</v>
      </c>
      <c r="S90" s="76" t="n">
        <f aca="false">R90+S77</f>
        <v>59840</v>
      </c>
      <c r="T90" s="76" t="n">
        <f aca="false">S90+T77</f>
        <v>59840</v>
      </c>
      <c r="U90" s="76" t="n">
        <f aca="false">T90+U77</f>
        <v>59840</v>
      </c>
      <c r="V90" s="76" t="n">
        <f aca="false">U90+V77</f>
        <v>59840</v>
      </c>
      <c r="W90" s="76" t="n">
        <f aca="false">V90+W77</f>
        <v>59840</v>
      </c>
      <c r="X90" s="76" t="n">
        <f aca="false">W90+X77</f>
        <v>59840</v>
      </c>
      <c r="Y90" s="76" t="n">
        <f aca="false">X90+Y77</f>
        <v>59840</v>
      </c>
      <c r="Z90" s="76" t="n">
        <f aca="false">Y90+Z77</f>
        <v>59840</v>
      </c>
      <c r="AA90" s="76" t="n">
        <f aca="false">Z90+AA77</f>
        <v>59840</v>
      </c>
      <c r="AB90" s="76" t="n">
        <f aca="false">AA90+AB77</f>
        <v>59840</v>
      </c>
    </row>
    <row r="91" customFormat="false" ht="15" hidden="false" customHeight="false" outlineLevel="0" collapsed="false">
      <c r="A91" s="27" t="s">
        <v>944</v>
      </c>
      <c r="B91" s="63"/>
      <c r="C91" s="66" t="n">
        <f aca="false">P91</f>
        <v>100800</v>
      </c>
      <c r="D91" s="66" t="n">
        <f aca="false">AB91</f>
        <v>100800</v>
      </c>
      <c r="E91" s="67" t="n">
        <f aca="false">Project_Register!$O$11+E78</f>
        <v>7920</v>
      </c>
      <c r="F91" s="76" t="n">
        <f aca="false">E91+F78</f>
        <v>16320</v>
      </c>
      <c r="G91" s="76" t="n">
        <f aca="false">F91+G78</f>
        <v>25080</v>
      </c>
      <c r="H91" s="76" t="n">
        <f aca="false">G91+H78</f>
        <v>33360</v>
      </c>
      <c r="I91" s="76" t="n">
        <f aca="false">H91+I78</f>
        <v>41880</v>
      </c>
      <c r="J91" s="76" t="n">
        <f aca="false">I91+J78</f>
        <v>50520</v>
      </c>
      <c r="K91" s="76" t="n">
        <f aca="false">J91+K78</f>
        <v>58680</v>
      </c>
      <c r="L91" s="76" t="n">
        <f aca="false">K91+L78</f>
        <v>64440</v>
      </c>
      <c r="M91" s="76" t="n">
        <f aca="false">L91+M78</f>
        <v>73530</v>
      </c>
      <c r="N91" s="76" t="n">
        <f aca="false">M91+N78</f>
        <v>82620</v>
      </c>
      <c r="O91" s="76" t="n">
        <f aca="false">N91+O78</f>
        <v>91710</v>
      </c>
      <c r="P91" s="76" t="n">
        <f aca="false">O91+P78</f>
        <v>100800</v>
      </c>
      <c r="Q91" s="76" t="n">
        <f aca="false">P91+Q78</f>
        <v>100800</v>
      </c>
      <c r="R91" s="76" t="n">
        <f aca="false">Q91+R78</f>
        <v>100800</v>
      </c>
      <c r="S91" s="76" t="n">
        <f aca="false">R91+S78</f>
        <v>100800</v>
      </c>
      <c r="T91" s="76" t="n">
        <f aca="false">S91+T78</f>
        <v>100800</v>
      </c>
      <c r="U91" s="76" t="n">
        <f aca="false">T91+U78</f>
        <v>100800</v>
      </c>
      <c r="V91" s="76" t="n">
        <f aca="false">U91+V78</f>
        <v>100800</v>
      </c>
      <c r="W91" s="76" t="n">
        <f aca="false">V91+W78</f>
        <v>100800</v>
      </c>
      <c r="X91" s="76" t="n">
        <f aca="false">W91+X78</f>
        <v>100800</v>
      </c>
      <c r="Y91" s="76" t="n">
        <f aca="false">X91+Y78</f>
        <v>100800</v>
      </c>
      <c r="Z91" s="76" t="n">
        <f aca="false">Y91+Z78</f>
        <v>100800</v>
      </c>
      <c r="AA91" s="76" t="n">
        <f aca="false">Z91+AA78</f>
        <v>100800</v>
      </c>
      <c r="AB91" s="76" t="n">
        <f aca="false">AA91+AB78</f>
        <v>100800</v>
      </c>
    </row>
    <row r="92" customFormat="false" ht="15" hidden="false" customHeight="false" outlineLevel="0" collapsed="false">
      <c r="A92" s="27" t="s">
        <v>945</v>
      </c>
      <c r="B92" s="63"/>
      <c r="C92" s="66" t="n">
        <f aca="false">P92</f>
        <v>32000</v>
      </c>
      <c r="D92" s="66" t="n">
        <f aca="false">AB92</f>
        <v>32000</v>
      </c>
      <c r="E92" s="67" t="n">
        <f aca="false">Project_Register!$O$12+E79</f>
        <v>0</v>
      </c>
      <c r="F92" s="76" t="n">
        <f aca="false">E92+F79</f>
        <v>0</v>
      </c>
      <c r="G92" s="76" t="n">
        <f aca="false">F92+G79</f>
        <v>9600</v>
      </c>
      <c r="H92" s="76" t="n">
        <f aca="false">G92+H79</f>
        <v>22400</v>
      </c>
      <c r="I92" s="76" t="n">
        <f aca="false">H92+I79</f>
        <v>32000</v>
      </c>
      <c r="J92" s="76" t="n">
        <f aca="false">I92+J79</f>
        <v>32000</v>
      </c>
      <c r="K92" s="76" t="n">
        <f aca="false">J92+K79</f>
        <v>32000</v>
      </c>
      <c r="L92" s="76" t="n">
        <f aca="false">K92+L79</f>
        <v>32000</v>
      </c>
      <c r="M92" s="76" t="n">
        <f aca="false">L92+M79</f>
        <v>32000</v>
      </c>
      <c r="N92" s="76" t="n">
        <f aca="false">M92+N79</f>
        <v>32000</v>
      </c>
      <c r="O92" s="76" t="n">
        <f aca="false">N92+O79</f>
        <v>32000</v>
      </c>
      <c r="P92" s="76" t="n">
        <f aca="false">O92+P79</f>
        <v>32000</v>
      </c>
      <c r="Q92" s="76" t="n">
        <f aca="false">P92+Q79</f>
        <v>32000</v>
      </c>
      <c r="R92" s="76" t="n">
        <f aca="false">Q92+R79</f>
        <v>32000</v>
      </c>
      <c r="S92" s="76" t="n">
        <f aca="false">R92+S79</f>
        <v>32000</v>
      </c>
      <c r="T92" s="76" t="n">
        <f aca="false">S92+T79</f>
        <v>32000</v>
      </c>
      <c r="U92" s="76" t="n">
        <f aca="false">T92+U79</f>
        <v>32000</v>
      </c>
      <c r="V92" s="76" t="n">
        <f aca="false">U92+V79</f>
        <v>32000</v>
      </c>
      <c r="W92" s="76" t="n">
        <f aca="false">V92+W79</f>
        <v>32000</v>
      </c>
      <c r="X92" s="76" t="n">
        <f aca="false">W92+X79</f>
        <v>32000</v>
      </c>
      <c r="Y92" s="76" t="n">
        <f aca="false">X92+Y79</f>
        <v>32000</v>
      </c>
      <c r="Z92" s="76" t="n">
        <f aca="false">Y92+Z79</f>
        <v>32000</v>
      </c>
      <c r="AA92" s="76" t="n">
        <f aca="false">Z92+AA79</f>
        <v>32000</v>
      </c>
      <c r="AB92" s="76" t="n">
        <f aca="false">AA92+AB79</f>
        <v>32000</v>
      </c>
    </row>
    <row r="93" customFormat="false" ht="15" hidden="false" customHeight="false" outlineLevel="0" collapsed="false">
      <c r="A93" s="27" t="s">
        <v>946</v>
      </c>
      <c r="B93" s="63"/>
      <c r="C93" s="66" t="n">
        <f aca="false">P93</f>
        <v>38000</v>
      </c>
      <c r="D93" s="66" t="n">
        <f aca="false">AB93</f>
        <v>38000</v>
      </c>
      <c r="E93" s="67" t="n">
        <f aca="false">Project_Register!$O$13+E80</f>
        <v>0</v>
      </c>
      <c r="F93" s="76" t="n">
        <f aca="false">E93+F80</f>
        <v>0</v>
      </c>
      <c r="G93" s="76" t="n">
        <f aca="false">F93+G80</f>
        <v>0</v>
      </c>
      <c r="H93" s="76" t="n">
        <f aca="false">G93+H80</f>
        <v>0</v>
      </c>
      <c r="I93" s="76" t="n">
        <f aca="false">H93+I80</f>
        <v>0</v>
      </c>
      <c r="J93" s="76" t="n">
        <f aca="false">I93+J80</f>
        <v>7680.85</v>
      </c>
      <c r="K93" s="76" t="n">
        <f aca="false">J93+K80</f>
        <v>18191.49</v>
      </c>
      <c r="L93" s="76" t="n">
        <f aca="false">K93+L80</f>
        <v>25063.83</v>
      </c>
      <c r="M93" s="76" t="n">
        <f aca="false">L93+M80</f>
        <v>38000</v>
      </c>
      <c r="N93" s="76" t="n">
        <f aca="false">M93+N80</f>
        <v>38000</v>
      </c>
      <c r="O93" s="76" t="n">
        <f aca="false">N93+O80</f>
        <v>38000</v>
      </c>
      <c r="P93" s="76" t="n">
        <f aca="false">O93+P80</f>
        <v>38000</v>
      </c>
      <c r="Q93" s="76" t="n">
        <f aca="false">P93+Q80</f>
        <v>38000</v>
      </c>
      <c r="R93" s="76" t="n">
        <f aca="false">Q93+R80</f>
        <v>38000</v>
      </c>
      <c r="S93" s="76" t="n">
        <f aca="false">R93+S80</f>
        <v>38000</v>
      </c>
      <c r="T93" s="76" t="n">
        <f aca="false">S93+T80</f>
        <v>38000</v>
      </c>
      <c r="U93" s="76" t="n">
        <f aca="false">T93+U80</f>
        <v>38000</v>
      </c>
      <c r="V93" s="76" t="n">
        <f aca="false">U93+V80</f>
        <v>38000</v>
      </c>
      <c r="W93" s="76" t="n">
        <f aca="false">V93+W80</f>
        <v>38000</v>
      </c>
      <c r="X93" s="76" t="n">
        <f aca="false">W93+X80</f>
        <v>38000</v>
      </c>
      <c r="Y93" s="76" t="n">
        <f aca="false">X93+Y80</f>
        <v>38000</v>
      </c>
      <c r="Z93" s="76" t="n">
        <f aca="false">Y93+Z80</f>
        <v>38000</v>
      </c>
      <c r="AA93" s="76" t="n">
        <f aca="false">Z93+AA80</f>
        <v>38000</v>
      </c>
      <c r="AB93" s="76" t="n">
        <f aca="false">AA93+AB80</f>
        <v>38000</v>
      </c>
    </row>
    <row r="94" customFormat="false" ht="15" hidden="false" customHeight="false" outlineLevel="0" collapsed="false">
      <c r="A94" s="27" t="s">
        <v>947</v>
      </c>
      <c r="B94" s="63"/>
      <c r="C94" s="66" t="n">
        <f aca="false">P94</f>
        <v>70400</v>
      </c>
      <c r="D94" s="66" t="n">
        <f aca="false">AB94</f>
        <v>88000</v>
      </c>
      <c r="E94" s="67" t="n">
        <f aca="false">Project_Register!$O$14+E81</f>
        <v>0</v>
      </c>
      <c r="F94" s="76" t="n">
        <f aca="false">E94+F81</f>
        <v>0</v>
      </c>
      <c r="G94" s="76" t="n">
        <f aca="false">F94+G81</f>
        <v>0</v>
      </c>
      <c r="H94" s="76" t="n">
        <f aca="false">G94+H81</f>
        <v>0</v>
      </c>
      <c r="I94" s="76" t="n">
        <f aca="false">H94+I81</f>
        <v>0</v>
      </c>
      <c r="J94" s="76" t="n">
        <f aca="false">I94+J81</f>
        <v>0</v>
      </c>
      <c r="K94" s="76" t="n">
        <f aca="false">J94+K81</f>
        <v>0</v>
      </c>
      <c r="L94" s="76" t="n">
        <f aca="false">K94+L81</f>
        <v>0</v>
      </c>
      <c r="M94" s="76" t="n">
        <f aca="false">L94+M81</f>
        <v>17600</v>
      </c>
      <c r="N94" s="76" t="n">
        <f aca="false">M94+N81</f>
        <v>35200</v>
      </c>
      <c r="O94" s="76" t="n">
        <f aca="false">N94+O81</f>
        <v>52800</v>
      </c>
      <c r="P94" s="76" t="n">
        <f aca="false">O94+P81</f>
        <v>70400</v>
      </c>
      <c r="Q94" s="76" t="n">
        <f aca="false">P94+Q81</f>
        <v>88000</v>
      </c>
      <c r="R94" s="76" t="n">
        <f aca="false">Q94+R81</f>
        <v>88000</v>
      </c>
      <c r="S94" s="76" t="n">
        <f aca="false">R94+S81</f>
        <v>88000</v>
      </c>
      <c r="T94" s="76" t="n">
        <f aca="false">S94+T81</f>
        <v>88000</v>
      </c>
      <c r="U94" s="76" t="n">
        <f aca="false">T94+U81</f>
        <v>88000</v>
      </c>
      <c r="V94" s="76" t="n">
        <f aca="false">U94+V81</f>
        <v>88000</v>
      </c>
      <c r="W94" s="76" t="n">
        <f aca="false">V94+W81</f>
        <v>88000</v>
      </c>
      <c r="X94" s="76" t="n">
        <f aca="false">W94+X81</f>
        <v>88000</v>
      </c>
      <c r="Y94" s="76" t="n">
        <f aca="false">X94+Y81</f>
        <v>88000</v>
      </c>
      <c r="Z94" s="76" t="n">
        <f aca="false">Y94+Z81</f>
        <v>88000</v>
      </c>
      <c r="AA94" s="76" t="n">
        <f aca="false">Z94+AA81</f>
        <v>88000</v>
      </c>
      <c r="AB94" s="76" t="n">
        <f aca="false">AA94+AB81</f>
        <v>88000</v>
      </c>
    </row>
    <row r="95" customFormat="false" ht="15" hidden="false" customHeight="false" outlineLevel="0" collapsed="false">
      <c r="A95" s="27" t="s">
        <v>948</v>
      </c>
      <c r="B95" s="63"/>
      <c r="C95" s="66" t="n">
        <f aca="false">P95</f>
        <v>61440</v>
      </c>
      <c r="D95" s="66" t="n">
        <f aca="false">AB95</f>
        <v>61440</v>
      </c>
      <c r="E95" s="67" t="n">
        <f aca="false">Project_Register!$O$15+E82</f>
        <v>4992</v>
      </c>
      <c r="F95" s="76" t="n">
        <f aca="false">E95+F82</f>
        <v>10240</v>
      </c>
      <c r="G95" s="76" t="n">
        <f aca="false">F95+G82</f>
        <v>15360</v>
      </c>
      <c r="H95" s="76" t="n">
        <f aca="false">G95+H82</f>
        <v>20416</v>
      </c>
      <c r="I95" s="76" t="n">
        <f aca="false">H95+I82</f>
        <v>25600</v>
      </c>
      <c r="J95" s="76" t="n">
        <f aca="false">I95+J82</f>
        <v>30912</v>
      </c>
      <c r="K95" s="76" t="n">
        <f aca="false">J95+K82</f>
        <v>36032</v>
      </c>
      <c r="L95" s="76" t="n">
        <f aca="false">K95+L82</f>
        <v>39744</v>
      </c>
      <c r="M95" s="76" t="n">
        <f aca="false">L95+M82</f>
        <v>45168</v>
      </c>
      <c r="N95" s="76" t="n">
        <f aca="false">M95+N82</f>
        <v>50592</v>
      </c>
      <c r="O95" s="76" t="n">
        <f aca="false">N95+O82</f>
        <v>56016</v>
      </c>
      <c r="P95" s="76" t="n">
        <f aca="false">O95+P82</f>
        <v>61440</v>
      </c>
      <c r="Q95" s="76" t="n">
        <f aca="false">P95+Q82</f>
        <v>61440</v>
      </c>
      <c r="R95" s="76" t="n">
        <f aca="false">Q95+R82</f>
        <v>61440</v>
      </c>
      <c r="S95" s="76" t="n">
        <f aca="false">R95+S82</f>
        <v>61440</v>
      </c>
      <c r="T95" s="76" t="n">
        <f aca="false">S95+T82</f>
        <v>61440</v>
      </c>
      <c r="U95" s="76" t="n">
        <f aca="false">T95+U82</f>
        <v>61440</v>
      </c>
      <c r="V95" s="76" t="n">
        <f aca="false">U95+V82</f>
        <v>61440</v>
      </c>
      <c r="W95" s="76" t="n">
        <f aca="false">V95+W82</f>
        <v>61440</v>
      </c>
      <c r="X95" s="76" t="n">
        <f aca="false">W95+X82</f>
        <v>61440</v>
      </c>
      <c r="Y95" s="76" t="n">
        <f aca="false">X95+Y82</f>
        <v>61440</v>
      </c>
      <c r="Z95" s="76" t="n">
        <f aca="false">Y95+Z82</f>
        <v>61440</v>
      </c>
      <c r="AA95" s="76" t="n">
        <f aca="false">Z95+AA82</f>
        <v>61440</v>
      </c>
      <c r="AB95" s="76" t="n">
        <f aca="false">AA95+AB82</f>
        <v>61440</v>
      </c>
    </row>
    <row r="96" customFormat="false" ht="15" hidden="false" customHeight="false" outlineLevel="0" collapsed="false">
      <c r="A96" s="27" t="s">
        <v>949</v>
      </c>
      <c r="B96" s="63"/>
      <c r="C96" s="66" t="n">
        <f aca="false">P96</f>
        <v>36000</v>
      </c>
      <c r="D96" s="66" t="n">
        <f aca="false">AB96</f>
        <v>36000</v>
      </c>
      <c r="E96" s="67" t="n">
        <f aca="false">Project_Register!$O$16+E83</f>
        <v>0</v>
      </c>
      <c r="F96" s="76" t="n">
        <f aca="false">E96+F83</f>
        <v>0</v>
      </c>
      <c r="G96" s="76" t="n">
        <f aca="false">F96+G83</f>
        <v>0</v>
      </c>
      <c r="H96" s="76" t="n">
        <f aca="false">G96+H83</f>
        <v>0</v>
      </c>
      <c r="I96" s="76" t="n">
        <f aca="false">H96+I83</f>
        <v>0</v>
      </c>
      <c r="J96" s="76" t="n">
        <f aca="false">I96+J83</f>
        <v>0</v>
      </c>
      <c r="K96" s="76" t="n">
        <f aca="false">J96+K83</f>
        <v>10400</v>
      </c>
      <c r="L96" s="76" t="n">
        <f aca="false">K96+L83</f>
        <v>18000</v>
      </c>
      <c r="M96" s="76" t="n">
        <f aca="false">L96+M83</f>
        <v>36000</v>
      </c>
      <c r="N96" s="76" t="n">
        <f aca="false">M96+N83</f>
        <v>36000</v>
      </c>
      <c r="O96" s="76" t="n">
        <f aca="false">N96+O83</f>
        <v>36000</v>
      </c>
      <c r="P96" s="76" t="n">
        <f aca="false">O96+P83</f>
        <v>36000</v>
      </c>
      <c r="Q96" s="76" t="n">
        <f aca="false">P96+Q83</f>
        <v>36000</v>
      </c>
      <c r="R96" s="76" t="n">
        <f aca="false">Q96+R83</f>
        <v>36000</v>
      </c>
      <c r="S96" s="76" t="n">
        <f aca="false">R96+S83</f>
        <v>36000</v>
      </c>
      <c r="T96" s="76" t="n">
        <f aca="false">S96+T83</f>
        <v>36000</v>
      </c>
      <c r="U96" s="76" t="n">
        <f aca="false">T96+U83</f>
        <v>36000</v>
      </c>
      <c r="V96" s="76" t="n">
        <f aca="false">U96+V83</f>
        <v>36000</v>
      </c>
      <c r="W96" s="76" t="n">
        <f aca="false">V96+W83</f>
        <v>36000</v>
      </c>
      <c r="X96" s="76" t="n">
        <f aca="false">W96+X83</f>
        <v>36000</v>
      </c>
      <c r="Y96" s="76" t="n">
        <f aca="false">X96+Y83</f>
        <v>36000</v>
      </c>
      <c r="Z96" s="76" t="n">
        <f aca="false">Y96+Z83</f>
        <v>36000</v>
      </c>
      <c r="AA96" s="76" t="n">
        <f aca="false">Z96+AA83</f>
        <v>36000</v>
      </c>
      <c r="AB96" s="76" t="n">
        <f aca="false">AA96+AB83</f>
        <v>36000</v>
      </c>
    </row>
    <row r="97" customFormat="false" ht="15" hidden="false" customHeight="false" outlineLevel="0" collapsed="false">
      <c r="A97" s="27" t="s">
        <v>950</v>
      </c>
      <c r="B97" s="63"/>
      <c r="C97" s="66" t="n">
        <f aca="false">P97</f>
        <v>72000</v>
      </c>
      <c r="D97" s="66" t="n">
        <f aca="false">AB97</f>
        <v>72000</v>
      </c>
      <c r="E97" s="67" t="n">
        <f aca="false">Project_Register!$O$17+E84</f>
        <v>9818.18</v>
      </c>
      <c r="F97" s="76" t="n">
        <f aca="false">E97+F84</f>
        <v>22909.09</v>
      </c>
      <c r="G97" s="76" t="n">
        <f aca="false">F97+G84</f>
        <v>36818.18</v>
      </c>
      <c r="H97" s="76" t="n">
        <f aca="false">G97+H84</f>
        <v>49909.09</v>
      </c>
      <c r="I97" s="76" t="n">
        <f aca="false">H97+I84</f>
        <v>62181.82</v>
      </c>
      <c r="J97" s="76" t="n">
        <f aca="false">I97+J84</f>
        <v>72000</v>
      </c>
      <c r="K97" s="76" t="n">
        <f aca="false">J97+K84</f>
        <v>72000</v>
      </c>
      <c r="L97" s="76" t="n">
        <f aca="false">K97+L84</f>
        <v>72000</v>
      </c>
      <c r="M97" s="76" t="n">
        <f aca="false">L97+M84</f>
        <v>72000</v>
      </c>
      <c r="N97" s="76" t="n">
        <f aca="false">M97+N84</f>
        <v>72000</v>
      </c>
      <c r="O97" s="76" t="n">
        <f aca="false">N97+O84</f>
        <v>72000</v>
      </c>
      <c r="P97" s="76" t="n">
        <f aca="false">O97+P84</f>
        <v>72000</v>
      </c>
      <c r="Q97" s="76" t="n">
        <f aca="false">P97+Q84</f>
        <v>72000</v>
      </c>
      <c r="R97" s="76" t="n">
        <f aca="false">Q97+R84</f>
        <v>72000</v>
      </c>
      <c r="S97" s="76" t="n">
        <f aca="false">R97+S84</f>
        <v>72000</v>
      </c>
      <c r="T97" s="76" t="n">
        <f aca="false">S97+T84</f>
        <v>72000</v>
      </c>
      <c r="U97" s="76" t="n">
        <f aca="false">T97+U84</f>
        <v>72000</v>
      </c>
      <c r="V97" s="76" t="n">
        <f aca="false">U97+V84</f>
        <v>72000</v>
      </c>
      <c r="W97" s="76" t="n">
        <f aca="false">V97+W84</f>
        <v>72000</v>
      </c>
      <c r="X97" s="76" t="n">
        <f aca="false">W97+X84</f>
        <v>72000</v>
      </c>
      <c r="Y97" s="76" t="n">
        <f aca="false">X97+Y84</f>
        <v>72000</v>
      </c>
      <c r="Z97" s="76" t="n">
        <f aca="false">Y97+Z84</f>
        <v>72000</v>
      </c>
      <c r="AA97" s="76" t="n">
        <f aca="false">Z97+AA84</f>
        <v>72000</v>
      </c>
      <c r="AB97" s="76" t="n">
        <f aca="false">AA97+AB84</f>
        <v>72000</v>
      </c>
    </row>
    <row r="98" customFormat="false" ht="15" hidden="false" customHeight="false" outlineLevel="0" collapsed="false">
      <c r="A98" s="27" t="s">
        <v>951</v>
      </c>
      <c r="B98" s="63"/>
      <c r="C98" s="66" t="n">
        <f aca="false">P98</f>
        <v>24000</v>
      </c>
      <c r="D98" s="66" t="n">
        <f aca="false">AB98</f>
        <v>24000</v>
      </c>
      <c r="E98" s="67" t="n">
        <f aca="false">Project_Register!$O$18+E85</f>
        <v>0</v>
      </c>
      <c r="F98" s="76" t="n">
        <f aca="false">E98+F85</f>
        <v>0</v>
      </c>
      <c r="G98" s="76" t="n">
        <f aca="false">F98+G85</f>
        <v>0</v>
      </c>
      <c r="H98" s="76" t="n">
        <f aca="false">G98+H85</f>
        <v>0</v>
      </c>
      <c r="I98" s="76" t="n">
        <f aca="false">H98+I85</f>
        <v>7200</v>
      </c>
      <c r="J98" s="76" t="n">
        <f aca="false">I98+J85</f>
        <v>16800</v>
      </c>
      <c r="K98" s="76" t="n">
        <f aca="false">J98+K85</f>
        <v>24000</v>
      </c>
      <c r="L98" s="76" t="n">
        <f aca="false">K98+L85</f>
        <v>24000</v>
      </c>
      <c r="M98" s="76" t="n">
        <f aca="false">L98+M85</f>
        <v>24000</v>
      </c>
      <c r="N98" s="76" t="n">
        <f aca="false">M98+N85</f>
        <v>24000</v>
      </c>
      <c r="O98" s="76" t="n">
        <f aca="false">N98+O85</f>
        <v>24000</v>
      </c>
      <c r="P98" s="76" t="n">
        <f aca="false">O98+P85</f>
        <v>24000</v>
      </c>
      <c r="Q98" s="76" t="n">
        <f aca="false">P98+Q85</f>
        <v>24000</v>
      </c>
      <c r="R98" s="76" t="n">
        <f aca="false">Q98+R85</f>
        <v>24000</v>
      </c>
      <c r="S98" s="76" t="n">
        <f aca="false">R98+S85</f>
        <v>24000</v>
      </c>
      <c r="T98" s="76" t="n">
        <f aca="false">S98+T85</f>
        <v>24000</v>
      </c>
      <c r="U98" s="76" t="n">
        <f aca="false">T98+U85</f>
        <v>24000</v>
      </c>
      <c r="V98" s="76" t="n">
        <f aca="false">U98+V85</f>
        <v>24000</v>
      </c>
      <c r="W98" s="76" t="n">
        <f aca="false">V98+W85</f>
        <v>24000</v>
      </c>
      <c r="X98" s="76" t="n">
        <f aca="false">W98+X85</f>
        <v>24000</v>
      </c>
      <c r="Y98" s="76" t="n">
        <f aca="false">X98+Y85</f>
        <v>24000</v>
      </c>
      <c r="Z98" s="76" t="n">
        <f aca="false">Y98+Z85</f>
        <v>24000</v>
      </c>
      <c r="AA98" s="76" t="n">
        <f aca="false">Z98+AA85</f>
        <v>24000</v>
      </c>
      <c r="AB98" s="76" t="n">
        <f aca="false">AA98+AB85</f>
        <v>24000</v>
      </c>
    </row>
    <row r="99" customFormat="false" ht="15" hidden="false" customHeight="false" outlineLevel="0" collapsed="false">
      <c r="A99" s="21" t="s">
        <v>957</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row>
    <row r="100" customFormat="false" ht="15" hidden="false" customHeight="false" outlineLevel="0" collapsed="false">
      <c r="A100" s="27" t="s">
        <v>940</v>
      </c>
      <c r="B100" s="63"/>
      <c r="C100" s="66" t="n">
        <f aca="false">SUM(E100:P100)</f>
        <v>110600</v>
      </c>
      <c r="D100" s="66" t="n">
        <f aca="false">SUM(Q100:AB100)</f>
        <v>0</v>
      </c>
      <c r="E100" s="67" t="n">
        <f aca="false">IF(E$5="A",Inputs_Actuals!E149,IF(Assumptions!E$201&lt;Project_Register!$I$7,0,Project_Register!$F$7*IF(E61&gt;=0.999,1,IF(E61&gt;=0.5,0.7,0.3))-Project_Register!$P$7))</f>
        <v>0</v>
      </c>
      <c r="F100" s="67" t="n">
        <f aca="false">IF(F$5="A",Inputs_Actuals!F149,IF(Assumptions!F$201&lt;Project_Register!$I$7,0,Project_Register!$F$7*IF(F61&gt;=0.999,1,IF(F61&gt;=0.5,0.7,0.3))-E113))</f>
        <v>0</v>
      </c>
      <c r="G100" s="67" t="n">
        <f aca="false">IF(G$5="A",Inputs_Actuals!G149,IF(Assumptions!G$201&lt;Project_Register!$I$7,0,Project_Register!$F$7*IF(G61&gt;=0.999,1,IF(G61&gt;=0.5,0.7,0.3))-F113))</f>
        <v>0</v>
      </c>
      <c r="H100" s="67" t="n">
        <f aca="false">IF(H$5="A",Inputs_Actuals!H149,IF(Assumptions!H$201&lt;Project_Register!$I$7,0,Project_Register!$F$7*IF(H61&gt;=0.999,1,IF(H61&gt;=0.5,0.7,0.3))-G113))</f>
        <v>63200</v>
      </c>
      <c r="I100" s="67" t="n">
        <f aca="false">IF(I$5="A",Inputs_Actuals!I149,IF(Assumptions!I$201&lt;Project_Register!$I$7,0,Project_Register!$F$7*IF(I61&gt;=0.999,1,IF(I61&gt;=0.5,0.7,0.3))-H113))</f>
        <v>0</v>
      </c>
      <c r="J100" s="67" t="n">
        <f aca="false">IF(J$5="A",Inputs_Actuals!J149,IF(Assumptions!J$201&lt;Project_Register!$I$7,0,Project_Register!$F$7*IF(J61&gt;=0.999,1,IF(J61&gt;=0.5,0.7,0.3))-I113))</f>
        <v>0</v>
      </c>
      <c r="K100" s="67" t="n">
        <f aca="false">IF(K$5="A",Inputs_Actuals!K149,IF(Assumptions!K$201&lt;Project_Register!$I$7,0,Project_Register!$F$7*IF(K61&gt;=0.999,1,IF(K61&gt;=0.5,0.7,0.3))-J113))</f>
        <v>0</v>
      </c>
      <c r="L100" s="67" t="n">
        <f aca="false">IF(L$5="A",Inputs_Actuals!L149,IF(Assumptions!L$201&lt;Project_Register!$I$7,0,Project_Register!$F$7*IF(L61&gt;=0.999,1,IF(L61&gt;=0.5,0.7,0.3))-K113))</f>
        <v>0</v>
      </c>
      <c r="M100" s="67" t="n">
        <f aca="false">IF(M$5="A",Inputs_Actuals!M149,IF(Assumptions!M$201&lt;Project_Register!$I$7,0,Project_Register!$F$7*IF(M61&gt;=0.999,1,IF(M61&gt;=0.5,0.7,0.3))-L113))</f>
        <v>0</v>
      </c>
      <c r="N100" s="67" t="n">
        <f aca="false">IF(N$5="A",Inputs_Actuals!N149,IF(Assumptions!N$201&lt;Project_Register!$I$7,0,Project_Register!$F$7*IF(N61&gt;=0.999,1,IF(N61&gt;=0.5,0.7,0.3))-M113))</f>
        <v>0</v>
      </c>
      <c r="O100" s="67" t="n">
        <f aca="false">IF(O$5="A",Inputs_Actuals!O149,IF(Assumptions!O$201&lt;Project_Register!$I$7,0,Project_Register!$F$7*IF(O61&gt;=0.999,1,IF(O61&gt;=0.5,0.7,0.3))-N113))</f>
        <v>47400</v>
      </c>
      <c r="P100" s="67" t="n">
        <f aca="false">IF(P$5="A",Inputs_Actuals!P149,IF(Assumptions!P$201&lt;Project_Register!$I$7,0,Project_Register!$F$7*IF(P61&gt;=0.999,1,IF(P61&gt;=0.5,0.7,0.3))-O113))</f>
        <v>0</v>
      </c>
      <c r="Q100" s="67" t="n">
        <f aca="false">IF(Q$5="A",Inputs_Actuals!Q149,IF(Assumptions!Q$201&lt;Project_Register!$I$7,0,Project_Register!$F$7*IF(Q61&gt;=0.999,1,IF(Q61&gt;=0.5,0.7,0.3))-P113))</f>
        <v>0</v>
      </c>
      <c r="R100" s="67" t="n">
        <f aca="false">IF(R$5="A",Inputs_Actuals!R149,IF(Assumptions!R$201&lt;Project_Register!$I$7,0,Project_Register!$F$7*IF(R61&gt;=0.999,1,IF(R61&gt;=0.5,0.7,0.3))-Q113))</f>
        <v>0</v>
      </c>
      <c r="S100" s="67" t="n">
        <f aca="false">IF(S$5="A",Inputs_Actuals!S149,IF(Assumptions!S$201&lt;Project_Register!$I$7,0,Project_Register!$F$7*IF(S61&gt;=0.999,1,IF(S61&gt;=0.5,0.7,0.3))-R113))</f>
        <v>0</v>
      </c>
      <c r="T100" s="67" t="n">
        <f aca="false">IF(T$5="A",Inputs_Actuals!T149,IF(Assumptions!T$201&lt;Project_Register!$I$7,0,Project_Register!$F$7*IF(T61&gt;=0.999,1,IF(T61&gt;=0.5,0.7,0.3))-S113))</f>
        <v>0</v>
      </c>
      <c r="U100" s="67" t="n">
        <f aca="false">IF(U$5="A",Inputs_Actuals!U149,IF(Assumptions!U$201&lt;Project_Register!$I$7,0,Project_Register!$F$7*IF(U61&gt;=0.999,1,IF(U61&gt;=0.5,0.7,0.3))-T113))</f>
        <v>0</v>
      </c>
      <c r="V100" s="67" t="n">
        <f aca="false">IF(V$5="A",Inputs_Actuals!V149,IF(Assumptions!V$201&lt;Project_Register!$I$7,0,Project_Register!$F$7*IF(V61&gt;=0.999,1,IF(V61&gt;=0.5,0.7,0.3))-U113))</f>
        <v>0</v>
      </c>
      <c r="W100" s="67" t="n">
        <f aca="false">IF(W$5="A",Inputs_Actuals!W149,IF(Assumptions!W$201&lt;Project_Register!$I$7,0,Project_Register!$F$7*IF(W61&gt;=0.999,1,IF(W61&gt;=0.5,0.7,0.3))-V113))</f>
        <v>0</v>
      </c>
      <c r="X100" s="67" t="n">
        <f aca="false">IF(X$5="A",Inputs_Actuals!X149,IF(Assumptions!X$201&lt;Project_Register!$I$7,0,Project_Register!$F$7*IF(X61&gt;=0.999,1,IF(X61&gt;=0.5,0.7,0.3))-W113))</f>
        <v>0</v>
      </c>
      <c r="Y100" s="67" t="n">
        <f aca="false">IF(Y$5="A",Inputs_Actuals!Y149,IF(Assumptions!Y$201&lt;Project_Register!$I$7,0,Project_Register!$F$7*IF(Y61&gt;=0.999,1,IF(Y61&gt;=0.5,0.7,0.3))-X113))</f>
        <v>0</v>
      </c>
      <c r="Z100" s="67" t="n">
        <f aca="false">IF(Z$5="A",Inputs_Actuals!Z149,IF(Assumptions!Z$201&lt;Project_Register!$I$7,0,Project_Register!$F$7*IF(Z61&gt;=0.999,1,IF(Z61&gt;=0.5,0.7,0.3))-Y113))</f>
        <v>0</v>
      </c>
      <c r="AA100" s="67" t="n">
        <f aca="false">IF(AA$5="A",Inputs_Actuals!AA149,IF(Assumptions!AA$201&lt;Project_Register!$I$7,0,Project_Register!$F$7*IF(AA61&gt;=0.999,1,IF(AA61&gt;=0.5,0.7,0.3))-Z113))</f>
        <v>0</v>
      </c>
      <c r="AB100" s="67" t="n">
        <f aca="false">IF(AB$5="A",Inputs_Actuals!AB149,IF(Assumptions!AB$201&lt;Project_Register!$I$7,0,Project_Register!$F$7*IF(AB61&gt;=0.999,1,IF(AB61&gt;=0.5,0.7,0.3))-AA113))</f>
        <v>0</v>
      </c>
    </row>
    <row r="101" customFormat="false" ht="15" hidden="false" customHeight="false" outlineLevel="0" collapsed="false">
      <c r="A101" s="27" t="s">
        <v>941</v>
      </c>
      <c r="B101" s="63"/>
      <c r="C101" s="66" t="n">
        <f aca="false">SUM(E101:P101)</f>
        <v>64000</v>
      </c>
      <c r="D101" s="66" t="n">
        <f aca="false">SUM(Q101:AB101)</f>
        <v>0</v>
      </c>
      <c r="E101" s="67" t="n">
        <f aca="false">IF(E$5="A",Inputs_Actuals!E152,IF(Assumptions!E$201&lt;Project_Register!$I$8,0,Project_Register!$F$8*IF(E62&gt;=0.999,1,IF(E62&gt;=0.5,0.7,0.3))-Project_Register!$P$8))</f>
        <v>19200</v>
      </c>
      <c r="F101" s="67" t="n">
        <f aca="false">IF(F$5="A",Inputs_Actuals!F152,IF(Assumptions!F$201&lt;Project_Register!$I$8,0,Project_Register!$F$8*IF(F62&gt;=0.999,1,IF(F62&gt;=0.5,0.7,0.3))-E114))</f>
        <v>25600</v>
      </c>
      <c r="G101" s="67" t="n">
        <f aca="false">IF(G$5="A",Inputs_Actuals!G152,IF(Assumptions!G$201&lt;Project_Register!$I$8,0,Project_Register!$F$8*IF(G62&gt;=0.999,1,IF(G62&gt;=0.5,0.7,0.3))-F114))</f>
        <v>0</v>
      </c>
      <c r="H101" s="67" t="n">
        <f aca="false">IF(H$5="A",Inputs_Actuals!H152,IF(Assumptions!H$201&lt;Project_Register!$I$8,0,Project_Register!$F$8*IF(H62&gt;=0.999,1,IF(H62&gt;=0.5,0.7,0.3))-G114))</f>
        <v>19200</v>
      </c>
      <c r="I101" s="67" t="n">
        <f aca="false">IF(I$5="A",Inputs_Actuals!I152,IF(Assumptions!I$201&lt;Project_Register!$I$8,0,Project_Register!$F$8*IF(I62&gt;=0.999,1,IF(I62&gt;=0.5,0.7,0.3))-H114))</f>
        <v>0</v>
      </c>
      <c r="J101" s="67" t="n">
        <f aca="false">IF(J$5="A",Inputs_Actuals!J152,IF(Assumptions!J$201&lt;Project_Register!$I$8,0,Project_Register!$F$8*IF(J62&gt;=0.999,1,IF(J62&gt;=0.5,0.7,0.3))-I114))</f>
        <v>0</v>
      </c>
      <c r="K101" s="67" t="n">
        <f aca="false">IF(K$5="A",Inputs_Actuals!K152,IF(Assumptions!K$201&lt;Project_Register!$I$8,0,Project_Register!$F$8*IF(K62&gt;=0.999,1,IF(K62&gt;=0.5,0.7,0.3))-J114))</f>
        <v>0</v>
      </c>
      <c r="L101" s="67" t="n">
        <f aca="false">IF(L$5="A",Inputs_Actuals!L152,IF(Assumptions!L$201&lt;Project_Register!$I$8,0,Project_Register!$F$8*IF(L62&gt;=0.999,1,IF(L62&gt;=0.5,0.7,0.3))-K114))</f>
        <v>0</v>
      </c>
      <c r="M101" s="67" t="n">
        <f aca="false">IF(M$5="A",Inputs_Actuals!M152,IF(Assumptions!M$201&lt;Project_Register!$I$8,0,Project_Register!$F$8*IF(M62&gt;=0.999,1,IF(M62&gt;=0.5,0.7,0.3))-L114))</f>
        <v>0</v>
      </c>
      <c r="N101" s="67" t="n">
        <f aca="false">IF(N$5="A",Inputs_Actuals!N152,IF(Assumptions!N$201&lt;Project_Register!$I$8,0,Project_Register!$F$8*IF(N62&gt;=0.999,1,IF(N62&gt;=0.5,0.7,0.3))-M114))</f>
        <v>0</v>
      </c>
      <c r="O101" s="67" t="n">
        <f aca="false">IF(O$5="A",Inputs_Actuals!O152,IF(Assumptions!O$201&lt;Project_Register!$I$8,0,Project_Register!$F$8*IF(O62&gt;=0.999,1,IF(O62&gt;=0.5,0.7,0.3))-N114))</f>
        <v>0</v>
      </c>
      <c r="P101" s="67" t="n">
        <f aca="false">IF(P$5="A",Inputs_Actuals!P152,IF(Assumptions!P$201&lt;Project_Register!$I$8,0,Project_Register!$F$8*IF(P62&gt;=0.999,1,IF(P62&gt;=0.5,0.7,0.3))-O114))</f>
        <v>0</v>
      </c>
      <c r="Q101" s="67" t="n">
        <f aca="false">IF(Q$5="A",Inputs_Actuals!Q152,IF(Assumptions!Q$201&lt;Project_Register!$I$8,0,Project_Register!$F$8*IF(Q62&gt;=0.999,1,IF(Q62&gt;=0.5,0.7,0.3))-P114))</f>
        <v>0</v>
      </c>
      <c r="R101" s="67" t="n">
        <f aca="false">IF(R$5="A",Inputs_Actuals!R152,IF(Assumptions!R$201&lt;Project_Register!$I$8,0,Project_Register!$F$8*IF(R62&gt;=0.999,1,IF(R62&gt;=0.5,0.7,0.3))-Q114))</f>
        <v>0</v>
      </c>
      <c r="S101" s="67" t="n">
        <f aca="false">IF(S$5="A",Inputs_Actuals!S152,IF(Assumptions!S$201&lt;Project_Register!$I$8,0,Project_Register!$F$8*IF(S62&gt;=0.999,1,IF(S62&gt;=0.5,0.7,0.3))-R114))</f>
        <v>0</v>
      </c>
      <c r="T101" s="67" t="n">
        <f aca="false">IF(T$5="A",Inputs_Actuals!T152,IF(Assumptions!T$201&lt;Project_Register!$I$8,0,Project_Register!$F$8*IF(T62&gt;=0.999,1,IF(T62&gt;=0.5,0.7,0.3))-S114))</f>
        <v>0</v>
      </c>
      <c r="U101" s="67" t="n">
        <f aca="false">IF(U$5="A",Inputs_Actuals!U152,IF(Assumptions!U$201&lt;Project_Register!$I$8,0,Project_Register!$F$8*IF(U62&gt;=0.999,1,IF(U62&gt;=0.5,0.7,0.3))-T114))</f>
        <v>0</v>
      </c>
      <c r="V101" s="67" t="n">
        <f aca="false">IF(V$5="A",Inputs_Actuals!V152,IF(Assumptions!V$201&lt;Project_Register!$I$8,0,Project_Register!$F$8*IF(V62&gt;=0.999,1,IF(V62&gt;=0.5,0.7,0.3))-U114))</f>
        <v>0</v>
      </c>
      <c r="W101" s="67" t="n">
        <f aca="false">IF(W$5="A",Inputs_Actuals!W152,IF(Assumptions!W$201&lt;Project_Register!$I$8,0,Project_Register!$F$8*IF(W62&gt;=0.999,1,IF(W62&gt;=0.5,0.7,0.3))-V114))</f>
        <v>0</v>
      </c>
      <c r="X101" s="67" t="n">
        <f aca="false">IF(X$5="A",Inputs_Actuals!X152,IF(Assumptions!X$201&lt;Project_Register!$I$8,0,Project_Register!$F$8*IF(X62&gt;=0.999,1,IF(X62&gt;=0.5,0.7,0.3))-W114))</f>
        <v>0</v>
      </c>
      <c r="Y101" s="67" t="n">
        <f aca="false">IF(Y$5="A",Inputs_Actuals!Y152,IF(Assumptions!Y$201&lt;Project_Register!$I$8,0,Project_Register!$F$8*IF(Y62&gt;=0.999,1,IF(Y62&gt;=0.5,0.7,0.3))-X114))</f>
        <v>0</v>
      </c>
      <c r="Z101" s="67" t="n">
        <f aca="false">IF(Z$5="A",Inputs_Actuals!Z152,IF(Assumptions!Z$201&lt;Project_Register!$I$8,0,Project_Register!$F$8*IF(Z62&gt;=0.999,1,IF(Z62&gt;=0.5,0.7,0.3))-Y114))</f>
        <v>0</v>
      </c>
      <c r="AA101" s="67" t="n">
        <f aca="false">IF(AA$5="A",Inputs_Actuals!AA152,IF(Assumptions!AA$201&lt;Project_Register!$I$8,0,Project_Register!$F$8*IF(AA62&gt;=0.999,1,IF(AA62&gt;=0.5,0.7,0.3))-Z114))</f>
        <v>0</v>
      </c>
      <c r="AB101" s="67" t="n">
        <f aca="false">IF(AB$5="A",Inputs_Actuals!AB152,IF(Assumptions!AB$201&lt;Project_Register!$I$8,0,Project_Register!$F$8*IF(AB62&gt;=0.999,1,IF(AB62&gt;=0.5,0.7,0.3))-AA114))</f>
        <v>0</v>
      </c>
    </row>
    <row r="102" customFormat="false" ht="15" hidden="false" customHeight="false" outlineLevel="0" collapsed="false">
      <c r="A102" s="27" t="s">
        <v>942</v>
      </c>
      <c r="B102" s="63"/>
      <c r="C102" s="66" t="n">
        <f aca="false">SUM(E102:P102)</f>
        <v>52000</v>
      </c>
      <c r="D102" s="66" t="n">
        <f aca="false">SUM(Q102:AB102)</f>
        <v>0</v>
      </c>
      <c r="E102" s="67" t="n">
        <f aca="false">IF(E$5="A",Inputs_Actuals!E155,IF(Assumptions!E$201&lt;Project_Register!$I$9,0,Project_Register!$F$9*IF(E63&gt;=0.999,1,IF(E63&gt;=0.5,0.7,0.3))-Project_Register!$P$9))</f>
        <v>0</v>
      </c>
      <c r="F102" s="67" t="n">
        <f aca="false">IF(F$5="A",Inputs_Actuals!F155,IF(Assumptions!F$201&lt;Project_Register!$I$9,0,Project_Register!$F$9*IF(F63&gt;=0.999,1,IF(F63&gt;=0.5,0.7,0.3))-E115))</f>
        <v>0</v>
      </c>
      <c r="G102" s="67" t="n">
        <f aca="false">IF(G$5="A",Inputs_Actuals!G155,IF(Assumptions!G$201&lt;Project_Register!$I$9,0,Project_Register!$F$9*IF(G63&gt;=0.999,1,IF(G63&gt;=0.5,0.7,0.3))-F115))</f>
        <v>15600</v>
      </c>
      <c r="H102" s="67" t="n">
        <f aca="false">IF(H$5="A",Inputs_Actuals!H155,IF(Assumptions!H$201&lt;Project_Register!$I$9,0,Project_Register!$F$9*IF(H63&gt;=0.999,1,IF(H63&gt;=0.5,0.7,0.3))-G115))</f>
        <v>0</v>
      </c>
      <c r="I102" s="67" t="n">
        <f aca="false">IF(I$5="A",Inputs_Actuals!I155,IF(Assumptions!I$201&lt;Project_Register!$I$9,0,Project_Register!$F$9*IF(I63&gt;=0.999,1,IF(I63&gt;=0.5,0.7,0.3))-H115))</f>
        <v>20800</v>
      </c>
      <c r="J102" s="67" t="n">
        <f aca="false">IF(J$5="A",Inputs_Actuals!J155,IF(Assumptions!J$201&lt;Project_Register!$I$9,0,Project_Register!$F$9*IF(J63&gt;=0.999,1,IF(J63&gt;=0.5,0.7,0.3))-I115))</f>
        <v>0</v>
      </c>
      <c r="K102" s="67" t="n">
        <f aca="false">IF(K$5="A",Inputs_Actuals!K155,IF(Assumptions!K$201&lt;Project_Register!$I$9,0,Project_Register!$F$9*IF(K63&gt;=0.999,1,IF(K63&gt;=0.5,0.7,0.3))-J115))</f>
        <v>15600</v>
      </c>
      <c r="L102" s="67" t="n">
        <f aca="false">IF(L$5="A",Inputs_Actuals!L155,IF(Assumptions!L$201&lt;Project_Register!$I$9,0,Project_Register!$F$9*IF(L63&gt;=0.999,1,IF(L63&gt;=0.5,0.7,0.3))-K115))</f>
        <v>0</v>
      </c>
      <c r="M102" s="67" t="n">
        <f aca="false">IF(M$5="A",Inputs_Actuals!M155,IF(Assumptions!M$201&lt;Project_Register!$I$9,0,Project_Register!$F$9*IF(M63&gt;=0.999,1,IF(M63&gt;=0.5,0.7,0.3))-L115))</f>
        <v>0</v>
      </c>
      <c r="N102" s="67" t="n">
        <f aca="false">IF(N$5="A",Inputs_Actuals!N155,IF(Assumptions!N$201&lt;Project_Register!$I$9,0,Project_Register!$F$9*IF(N63&gt;=0.999,1,IF(N63&gt;=0.5,0.7,0.3))-M115))</f>
        <v>0</v>
      </c>
      <c r="O102" s="67" t="n">
        <f aca="false">IF(O$5="A",Inputs_Actuals!O155,IF(Assumptions!O$201&lt;Project_Register!$I$9,0,Project_Register!$F$9*IF(O63&gt;=0.999,1,IF(O63&gt;=0.5,0.7,0.3))-N115))</f>
        <v>0</v>
      </c>
      <c r="P102" s="67" t="n">
        <f aca="false">IF(P$5="A",Inputs_Actuals!P155,IF(Assumptions!P$201&lt;Project_Register!$I$9,0,Project_Register!$F$9*IF(P63&gt;=0.999,1,IF(P63&gt;=0.5,0.7,0.3))-O115))</f>
        <v>0</v>
      </c>
      <c r="Q102" s="67" t="n">
        <f aca="false">IF(Q$5="A",Inputs_Actuals!Q155,IF(Assumptions!Q$201&lt;Project_Register!$I$9,0,Project_Register!$F$9*IF(Q63&gt;=0.999,1,IF(Q63&gt;=0.5,0.7,0.3))-P115))</f>
        <v>0</v>
      </c>
      <c r="R102" s="67" t="n">
        <f aca="false">IF(R$5="A",Inputs_Actuals!R155,IF(Assumptions!R$201&lt;Project_Register!$I$9,0,Project_Register!$F$9*IF(R63&gt;=0.999,1,IF(R63&gt;=0.5,0.7,0.3))-Q115))</f>
        <v>0</v>
      </c>
      <c r="S102" s="67" t="n">
        <f aca="false">IF(S$5="A",Inputs_Actuals!S155,IF(Assumptions!S$201&lt;Project_Register!$I$9,0,Project_Register!$F$9*IF(S63&gt;=0.999,1,IF(S63&gt;=0.5,0.7,0.3))-R115))</f>
        <v>0</v>
      </c>
      <c r="T102" s="67" t="n">
        <f aca="false">IF(T$5="A",Inputs_Actuals!T155,IF(Assumptions!T$201&lt;Project_Register!$I$9,0,Project_Register!$F$9*IF(T63&gt;=0.999,1,IF(T63&gt;=0.5,0.7,0.3))-S115))</f>
        <v>0</v>
      </c>
      <c r="U102" s="67" t="n">
        <f aca="false">IF(U$5="A",Inputs_Actuals!U155,IF(Assumptions!U$201&lt;Project_Register!$I$9,0,Project_Register!$F$9*IF(U63&gt;=0.999,1,IF(U63&gt;=0.5,0.7,0.3))-T115))</f>
        <v>0</v>
      </c>
      <c r="V102" s="67" t="n">
        <f aca="false">IF(V$5="A",Inputs_Actuals!V155,IF(Assumptions!V$201&lt;Project_Register!$I$9,0,Project_Register!$F$9*IF(V63&gt;=0.999,1,IF(V63&gt;=0.5,0.7,0.3))-U115))</f>
        <v>0</v>
      </c>
      <c r="W102" s="67" t="n">
        <f aca="false">IF(W$5="A",Inputs_Actuals!W155,IF(Assumptions!W$201&lt;Project_Register!$I$9,0,Project_Register!$F$9*IF(W63&gt;=0.999,1,IF(W63&gt;=0.5,0.7,0.3))-V115))</f>
        <v>0</v>
      </c>
      <c r="X102" s="67" t="n">
        <f aca="false">IF(X$5="A",Inputs_Actuals!X155,IF(Assumptions!X$201&lt;Project_Register!$I$9,0,Project_Register!$F$9*IF(X63&gt;=0.999,1,IF(X63&gt;=0.5,0.7,0.3))-W115))</f>
        <v>0</v>
      </c>
      <c r="Y102" s="67" t="n">
        <f aca="false">IF(Y$5="A",Inputs_Actuals!Y155,IF(Assumptions!Y$201&lt;Project_Register!$I$9,0,Project_Register!$F$9*IF(Y63&gt;=0.999,1,IF(Y63&gt;=0.5,0.7,0.3))-X115))</f>
        <v>0</v>
      </c>
      <c r="Z102" s="67" t="n">
        <f aca="false">IF(Z$5="A",Inputs_Actuals!Z155,IF(Assumptions!Z$201&lt;Project_Register!$I$9,0,Project_Register!$F$9*IF(Z63&gt;=0.999,1,IF(Z63&gt;=0.5,0.7,0.3))-Y115))</f>
        <v>0</v>
      </c>
      <c r="AA102" s="67" t="n">
        <f aca="false">IF(AA$5="A",Inputs_Actuals!AA155,IF(Assumptions!AA$201&lt;Project_Register!$I$9,0,Project_Register!$F$9*IF(AA63&gt;=0.999,1,IF(AA63&gt;=0.5,0.7,0.3))-Z115))</f>
        <v>0</v>
      </c>
      <c r="AB102" s="67" t="n">
        <f aca="false">IF(AB$5="A",Inputs_Actuals!AB155,IF(Assumptions!AB$201&lt;Project_Register!$I$9,0,Project_Register!$F$9*IF(AB63&gt;=0.999,1,IF(AB63&gt;=0.5,0.7,0.3))-AA115))</f>
        <v>0</v>
      </c>
    </row>
    <row r="103" customFormat="false" ht="15" hidden="false" customHeight="false" outlineLevel="0" collapsed="false">
      <c r="A103" s="27" t="s">
        <v>943</v>
      </c>
      <c r="B103" s="63"/>
      <c r="C103" s="66" t="n">
        <f aca="false">SUM(E103:P103)</f>
        <v>59840</v>
      </c>
      <c r="D103" s="66" t="n">
        <f aca="false">SUM(Q103:AB103)</f>
        <v>0</v>
      </c>
      <c r="E103" s="67" t="n">
        <f aca="false">IF(E$5="A",Inputs_Actuals!E158,E77)</f>
        <v>0</v>
      </c>
      <c r="F103" s="67" t="n">
        <f aca="false">IF(F$5="A",Inputs_Actuals!F158,F77)</f>
        <v>6460</v>
      </c>
      <c r="G103" s="67" t="n">
        <f aca="false">IF(G$5="A",Inputs_Actuals!G158,G77)</f>
        <v>8024</v>
      </c>
      <c r="H103" s="67" t="n">
        <f aca="false">IF(H$5="A",Inputs_Actuals!H158,H77)</f>
        <v>7616</v>
      </c>
      <c r="I103" s="67" t="n">
        <f aca="false">IF(I$5="A",Inputs_Actuals!I158,I77)</f>
        <v>7480</v>
      </c>
      <c r="J103" s="67" t="n">
        <f aca="false">IF(J$5="A",Inputs_Actuals!J158,J77)</f>
        <v>7888</v>
      </c>
      <c r="K103" s="67" t="n">
        <f aca="false">IF(K$5="A",Inputs_Actuals!K158,K77)</f>
        <v>7072</v>
      </c>
      <c r="L103" s="67" t="n">
        <f aca="false">IF(L$5="A",Inputs_Actuals!L158,L77)</f>
        <v>4896</v>
      </c>
      <c r="M103" s="67" t="n">
        <f aca="false">IF(M$5="A",Inputs_Actuals!M158,M77)</f>
        <v>10404</v>
      </c>
      <c r="N103" s="67" t="n">
        <f aca="false">IF(N$5="A",Inputs_Actuals!N158,N77)</f>
        <v>0</v>
      </c>
      <c r="O103" s="67" t="n">
        <f aca="false">IF(O$5="A",Inputs_Actuals!O158,O77)</f>
        <v>0</v>
      </c>
      <c r="P103" s="67" t="n">
        <f aca="false">IF(P$5="A",Inputs_Actuals!P158,P77)</f>
        <v>0</v>
      </c>
      <c r="Q103" s="67" t="n">
        <f aca="false">IF(Q$5="A",Inputs_Actuals!Q158,Q77)</f>
        <v>0</v>
      </c>
      <c r="R103" s="67" t="n">
        <f aca="false">IF(R$5="A",Inputs_Actuals!R158,R77)</f>
        <v>0</v>
      </c>
      <c r="S103" s="67" t="n">
        <f aca="false">IF(S$5="A",Inputs_Actuals!S158,S77)</f>
        <v>0</v>
      </c>
      <c r="T103" s="67" t="n">
        <f aca="false">IF(T$5="A",Inputs_Actuals!T158,T77)</f>
        <v>0</v>
      </c>
      <c r="U103" s="67" t="n">
        <f aca="false">IF(U$5="A",Inputs_Actuals!U158,U77)</f>
        <v>0</v>
      </c>
      <c r="V103" s="67" t="n">
        <f aca="false">IF(V$5="A",Inputs_Actuals!V158,V77)</f>
        <v>0</v>
      </c>
      <c r="W103" s="67" t="n">
        <f aca="false">IF(W$5="A",Inputs_Actuals!W158,W77)</f>
        <v>0</v>
      </c>
      <c r="X103" s="67" t="n">
        <f aca="false">IF(X$5="A",Inputs_Actuals!X158,X77)</f>
        <v>0</v>
      </c>
      <c r="Y103" s="67" t="n">
        <f aca="false">IF(Y$5="A",Inputs_Actuals!Y158,Y77)</f>
        <v>0</v>
      </c>
      <c r="Z103" s="67" t="n">
        <f aca="false">IF(Z$5="A",Inputs_Actuals!Z158,Z77)</f>
        <v>0</v>
      </c>
      <c r="AA103" s="67" t="n">
        <f aca="false">IF(AA$5="A",Inputs_Actuals!AA158,AA77)</f>
        <v>0</v>
      </c>
      <c r="AB103" s="67" t="n">
        <f aca="false">IF(AB$5="A",Inputs_Actuals!AB158,AB77)</f>
        <v>0</v>
      </c>
    </row>
    <row r="104" customFormat="false" ht="15" hidden="false" customHeight="false" outlineLevel="0" collapsed="false">
      <c r="A104" s="27" t="s">
        <v>944</v>
      </c>
      <c r="B104" s="63"/>
      <c r="C104" s="66" t="n">
        <f aca="false">SUM(E104:P104)</f>
        <v>100800</v>
      </c>
      <c r="D104" s="66" t="n">
        <f aca="false">SUM(Q104:AB104)</f>
        <v>0</v>
      </c>
      <c r="E104" s="67" t="n">
        <f aca="false">IF(E$5="A",Inputs_Actuals!E161,E78)</f>
        <v>7920</v>
      </c>
      <c r="F104" s="67" t="n">
        <f aca="false">IF(F$5="A",Inputs_Actuals!F161,F78)</f>
        <v>8400</v>
      </c>
      <c r="G104" s="67" t="n">
        <f aca="false">IF(G$5="A",Inputs_Actuals!G161,G78)</f>
        <v>8760</v>
      </c>
      <c r="H104" s="67" t="n">
        <f aca="false">IF(H$5="A",Inputs_Actuals!H161,H78)</f>
        <v>8280</v>
      </c>
      <c r="I104" s="67" t="n">
        <f aca="false">IF(I$5="A",Inputs_Actuals!I161,I78)</f>
        <v>8520</v>
      </c>
      <c r="J104" s="67" t="n">
        <f aca="false">IF(J$5="A",Inputs_Actuals!J161,J78)</f>
        <v>8640</v>
      </c>
      <c r="K104" s="67" t="n">
        <f aca="false">IF(K$5="A",Inputs_Actuals!K161,K78)</f>
        <v>8160</v>
      </c>
      <c r="L104" s="67" t="n">
        <f aca="false">IF(L$5="A",Inputs_Actuals!L161,L78)</f>
        <v>5760</v>
      </c>
      <c r="M104" s="67" t="n">
        <f aca="false">IF(M$5="A",Inputs_Actuals!M161,M78)</f>
        <v>9090</v>
      </c>
      <c r="N104" s="67" t="n">
        <f aca="false">IF(N$5="A",Inputs_Actuals!N161,N78)</f>
        <v>9090</v>
      </c>
      <c r="O104" s="67" t="n">
        <f aca="false">IF(O$5="A",Inputs_Actuals!O161,O78)</f>
        <v>9090</v>
      </c>
      <c r="P104" s="67" t="n">
        <f aca="false">IF(P$5="A",Inputs_Actuals!P161,P78)</f>
        <v>9090</v>
      </c>
      <c r="Q104" s="67" t="n">
        <f aca="false">IF(Q$5="A",Inputs_Actuals!Q161,Q78)</f>
        <v>0</v>
      </c>
      <c r="R104" s="67" t="n">
        <f aca="false">IF(R$5="A",Inputs_Actuals!R161,R78)</f>
        <v>0</v>
      </c>
      <c r="S104" s="67" t="n">
        <f aca="false">IF(S$5="A",Inputs_Actuals!S161,S78)</f>
        <v>0</v>
      </c>
      <c r="T104" s="67" t="n">
        <f aca="false">IF(T$5="A",Inputs_Actuals!T161,T78)</f>
        <v>0</v>
      </c>
      <c r="U104" s="67" t="n">
        <f aca="false">IF(U$5="A",Inputs_Actuals!U161,U78)</f>
        <v>0</v>
      </c>
      <c r="V104" s="67" t="n">
        <f aca="false">IF(V$5="A",Inputs_Actuals!V161,V78)</f>
        <v>0</v>
      </c>
      <c r="W104" s="67" t="n">
        <f aca="false">IF(W$5="A",Inputs_Actuals!W161,W78)</f>
        <v>0</v>
      </c>
      <c r="X104" s="67" t="n">
        <f aca="false">IF(X$5="A",Inputs_Actuals!X161,X78)</f>
        <v>0</v>
      </c>
      <c r="Y104" s="67" t="n">
        <f aca="false">IF(Y$5="A",Inputs_Actuals!Y161,Y78)</f>
        <v>0</v>
      </c>
      <c r="Z104" s="67" t="n">
        <f aca="false">IF(Z$5="A",Inputs_Actuals!Z161,Z78)</f>
        <v>0</v>
      </c>
      <c r="AA104" s="67" t="n">
        <f aca="false">IF(AA$5="A",Inputs_Actuals!AA161,AA78)</f>
        <v>0</v>
      </c>
      <c r="AB104" s="67" t="n">
        <f aca="false">IF(AB$5="A",Inputs_Actuals!AB161,AB78)</f>
        <v>0</v>
      </c>
    </row>
    <row r="105" customFormat="false" ht="15" hidden="false" customHeight="false" outlineLevel="0" collapsed="false">
      <c r="A105" s="27" t="s">
        <v>945</v>
      </c>
      <c r="B105" s="63"/>
      <c r="C105" s="66" t="n">
        <f aca="false">SUM(E105:P105)</f>
        <v>32000</v>
      </c>
      <c r="D105" s="66" t="n">
        <f aca="false">SUM(Q105:AB105)</f>
        <v>0</v>
      </c>
      <c r="E105" s="67" t="n">
        <f aca="false">IF(E$5="A",Inputs_Actuals!E164,IF(Assumptions!E$201&lt;Project_Register!$I$12,0,Project_Register!$F$12*IF(E66&gt;=0.999,1,IF(E66&gt;=0.5,0.7,0.3))-Project_Register!$P$12))</f>
        <v>0</v>
      </c>
      <c r="F105" s="67" t="n">
        <f aca="false">IF(F$5="A",Inputs_Actuals!F164,IF(Assumptions!F$201&lt;Project_Register!$I$12,0,Project_Register!$F$12*IF(F66&gt;=0.999,1,IF(F66&gt;=0.5,0.7,0.3))-E118))</f>
        <v>0</v>
      </c>
      <c r="G105" s="67" t="n">
        <f aca="false">IF(G$5="A",Inputs_Actuals!G164,IF(Assumptions!G$201&lt;Project_Register!$I$12,0,Project_Register!$F$12*IF(G66&gt;=0.999,1,IF(G66&gt;=0.5,0.7,0.3))-F118))</f>
        <v>9600</v>
      </c>
      <c r="H105" s="67" t="n">
        <f aca="false">IF(H$5="A",Inputs_Actuals!H164,IF(Assumptions!H$201&lt;Project_Register!$I$12,0,Project_Register!$F$12*IF(H66&gt;=0.999,1,IF(H66&gt;=0.5,0.7,0.3))-G118))</f>
        <v>12800</v>
      </c>
      <c r="I105" s="67" t="n">
        <f aca="false">IF(I$5="A",Inputs_Actuals!I164,IF(Assumptions!I$201&lt;Project_Register!$I$12,0,Project_Register!$F$12*IF(I66&gt;=0.999,1,IF(I66&gt;=0.5,0.7,0.3))-H118))</f>
        <v>9600</v>
      </c>
      <c r="J105" s="67" t="n">
        <f aca="false">IF(J$5="A",Inputs_Actuals!J164,IF(Assumptions!J$201&lt;Project_Register!$I$12,0,Project_Register!$F$12*IF(J66&gt;=0.999,1,IF(J66&gt;=0.5,0.7,0.3))-I118))</f>
        <v>0</v>
      </c>
      <c r="K105" s="67" t="n">
        <f aca="false">IF(K$5="A",Inputs_Actuals!K164,IF(Assumptions!K$201&lt;Project_Register!$I$12,0,Project_Register!$F$12*IF(K66&gt;=0.999,1,IF(K66&gt;=0.5,0.7,0.3))-J118))</f>
        <v>0</v>
      </c>
      <c r="L105" s="67" t="n">
        <f aca="false">IF(L$5="A",Inputs_Actuals!L164,IF(Assumptions!L$201&lt;Project_Register!$I$12,0,Project_Register!$F$12*IF(L66&gt;=0.999,1,IF(L66&gt;=0.5,0.7,0.3))-K118))</f>
        <v>0</v>
      </c>
      <c r="M105" s="67" t="n">
        <f aca="false">IF(M$5="A",Inputs_Actuals!M164,IF(Assumptions!M$201&lt;Project_Register!$I$12,0,Project_Register!$F$12*IF(M66&gt;=0.999,1,IF(M66&gt;=0.5,0.7,0.3))-L118))</f>
        <v>0</v>
      </c>
      <c r="N105" s="67" t="n">
        <f aca="false">IF(N$5="A",Inputs_Actuals!N164,IF(Assumptions!N$201&lt;Project_Register!$I$12,0,Project_Register!$F$12*IF(N66&gt;=0.999,1,IF(N66&gt;=0.5,0.7,0.3))-M118))</f>
        <v>0</v>
      </c>
      <c r="O105" s="67" t="n">
        <f aca="false">IF(O$5="A",Inputs_Actuals!O164,IF(Assumptions!O$201&lt;Project_Register!$I$12,0,Project_Register!$F$12*IF(O66&gt;=0.999,1,IF(O66&gt;=0.5,0.7,0.3))-N118))</f>
        <v>0</v>
      </c>
      <c r="P105" s="67" t="n">
        <f aca="false">IF(P$5="A",Inputs_Actuals!P164,IF(Assumptions!P$201&lt;Project_Register!$I$12,0,Project_Register!$F$12*IF(P66&gt;=0.999,1,IF(P66&gt;=0.5,0.7,0.3))-O118))</f>
        <v>0</v>
      </c>
      <c r="Q105" s="67" t="n">
        <f aca="false">IF(Q$5="A",Inputs_Actuals!Q164,IF(Assumptions!Q$201&lt;Project_Register!$I$12,0,Project_Register!$F$12*IF(Q66&gt;=0.999,1,IF(Q66&gt;=0.5,0.7,0.3))-P118))</f>
        <v>0</v>
      </c>
      <c r="R105" s="67" t="n">
        <f aca="false">IF(R$5="A",Inputs_Actuals!R164,IF(Assumptions!R$201&lt;Project_Register!$I$12,0,Project_Register!$F$12*IF(R66&gt;=0.999,1,IF(R66&gt;=0.5,0.7,0.3))-Q118))</f>
        <v>0</v>
      </c>
      <c r="S105" s="67" t="n">
        <f aca="false">IF(S$5="A",Inputs_Actuals!S164,IF(Assumptions!S$201&lt;Project_Register!$I$12,0,Project_Register!$F$12*IF(S66&gt;=0.999,1,IF(S66&gt;=0.5,0.7,0.3))-R118))</f>
        <v>0</v>
      </c>
      <c r="T105" s="67" t="n">
        <f aca="false">IF(T$5="A",Inputs_Actuals!T164,IF(Assumptions!T$201&lt;Project_Register!$I$12,0,Project_Register!$F$12*IF(T66&gt;=0.999,1,IF(T66&gt;=0.5,0.7,0.3))-S118))</f>
        <v>0</v>
      </c>
      <c r="U105" s="67" t="n">
        <f aca="false">IF(U$5="A",Inputs_Actuals!U164,IF(Assumptions!U$201&lt;Project_Register!$I$12,0,Project_Register!$F$12*IF(U66&gt;=0.999,1,IF(U66&gt;=0.5,0.7,0.3))-T118))</f>
        <v>0</v>
      </c>
      <c r="V105" s="67" t="n">
        <f aca="false">IF(V$5="A",Inputs_Actuals!V164,IF(Assumptions!V$201&lt;Project_Register!$I$12,0,Project_Register!$F$12*IF(V66&gt;=0.999,1,IF(V66&gt;=0.5,0.7,0.3))-U118))</f>
        <v>0</v>
      </c>
      <c r="W105" s="67" t="n">
        <f aca="false">IF(W$5="A",Inputs_Actuals!W164,IF(Assumptions!W$201&lt;Project_Register!$I$12,0,Project_Register!$F$12*IF(W66&gt;=0.999,1,IF(W66&gt;=0.5,0.7,0.3))-V118))</f>
        <v>0</v>
      </c>
      <c r="X105" s="67" t="n">
        <f aca="false">IF(X$5="A",Inputs_Actuals!X164,IF(Assumptions!X$201&lt;Project_Register!$I$12,0,Project_Register!$F$12*IF(X66&gt;=0.999,1,IF(X66&gt;=0.5,0.7,0.3))-W118))</f>
        <v>0</v>
      </c>
      <c r="Y105" s="67" t="n">
        <f aca="false">IF(Y$5="A",Inputs_Actuals!Y164,IF(Assumptions!Y$201&lt;Project_Register!$I$12,0,Project_Register!$F$12*IF(Y66&gt;=0.999,1,IF(Y66&gt;=0.5,0.7,0.3))-X118))</f>
        <v>0</v>
      </c>
      <c r="Z105" s="67" t="n">
        <f aca="false">IF(Z$5="A",Inputs_Actuals!Z164,IF(Assumptions!Z$201&lt;Project_Register!$I$12,0,Project_Register!$F$12*IF(Z66&gt;=0.999,1,IF(Z66&gt;=0.5,0.7,0.3))-Y118))</f>
        <v>0</v>
      </c>
      <c r="AA105" s="67" t="n">
        <f aca="false">IF(AA$5="A",Inputs_Actuals!AA164,IF(Assumptions!AA$201&lt;Project_Register!$I$12,0,Project_Register!$F$12*IF(AA66&gt;=0.999,1,IF(AA66&gt;=0.5,0.7,0.3))-Z118))</f>
        <v>0</v>
      </c>
      <c r="AB105" s="67" t="n">
        <f aca="false">IF(AB$5="A",Inputs_Actuals!AB164,IF(Assumptions!AB$201&lt;Project_Register!$I$12,0,Project_Register!$F$12*IF(AB66&gt;=0.999,1,IF(AB66&gt;=0.5,0.7,0.3))-AA118))</f>
        <v>0</v>
      </c>
    </row>
    <row r="106" customFormat="false" ht="15" hidden="false" customHeight="false" outlineLevel="0" collapsed="false">
      <c r="A106" s="27" t="s">
        <v>946</v>
      </c>
      <c r="B106" s="63"/>
      <c r="C106" s="66" t="n">
        <f aca="false">SUM(E106:P106)</f>
        <v>38000</v>
      </c>
      <c r="D106" s="66" t="n">
        <f aca="false">SUM(Q106:AB106)</f>
        <v>0</v>
      </c>
      <c r="E106" s="67" t="n">
        <f aca="false">IF(E$5="A",Inputs_Actuals!E167,IF(Assumptions!E$201&lt;Project_Register!$I$13,0,Project_Register!$F$13*IF(E67&gt;=0.999,1,IF(E67&gt;=0.5,0.7,0.3))-Project_Register!$P$13))</f>
        <v>0</v>
      </c>
      <c r="F106" s="67" t="n">
        <f aca="false">IF(F$5="A",Inputs_Actuals!F167,IF(Assumptions!F$201&lt;Project_Register!$I$13,0,Project_Register!$F$13*IF(F67&gt;=0.999,1,IF(F67&gt;=0.5,0.7,0.3))-E119))</f>
        <v>0</v>
      </c>
      <c r="G106" s="67" t="n">
        <f aca="false">IF(G$5="A",Inputs_Actuals!G167,IF(Assumptions!G$201&lt;Project_Register!$I$13,0,Project_Register!$F$13*IF(G67&gt;=0.999,1,IF(G67&gt;=0.5,0.7,0.3))-F119))</f>
        <v>0</v>
      </c>
      <c r="H106" s="67" t="n">
        <f aca="false">IF(H$5="A",Inputs_Actuals!H167,IF(Assumptions!H$201&lt;Project_Register!$I$13,0,Project_Register!$F$13*IF(H67&gt;=0.999,1,IF(H67&gt;=0.5,0.7,0.3))-G119))</f>
        <v>0</v>
      </c>
      <c r="I106" s="67" t="n">
        <f aca="false">IF(I$5="A",Inputs_Actuals!I167,IF(Assumptions!I$201&lt;Project_Register!$I$13,0,Project_Register!$F$13*IF(I67&gt;=0.999,1,IF(I67&gt;=0.5,0.7,0.3))-H119))</f>
        <v>0</v>
      </c>
      <c r="J106" s="67" t="n">
        <f aca="false">IF(J$5="A",Inputs_Actuals!J167,IF(Assumptions!J$201&lt;Project_Register!$I$13,0,Project_Register!$F$13*IF(J67&gt;=0.999,1,IF(J67&gt;=0.5,0.7,0.3))-I119))</f>
        <v>11400</v>
      </c>
      <c r="K106" s="67" t="n">
        <f aca="false">IF(K$5="A",Inputs_Actuals!K167,IF(Assumptions!K$201&lt;Project_Register!$I$13,0,Project_Register!$F$13*IF(K67&gt;=0.999,1,IF(K67&gt;=0.5,0.7,0.3))-J119))</f>
        <v>0</v>
      </c>
      <c r="L106" s="67" t="n">
        <f aca="false">IF(L$5="A",Inputs_Actuals!L167,IF(Assumptions!L$201&lt;Project_Register!$I$13,0,Project_Register!$F$13*IF(L67&gt;=0.999,1,IF(L67&gt;=0.5,0.7,0.3))-K119))</f>
        <v>15200</v>
      </c>
      <c r="M106" s="67" t="n">
        <f aca="false">IF(M$5="A",Inputs_Actuals!M167,IF(Assumptions!M$201&lt;Project_Register!$I$13,0,Project_Register!$F$13*IF(M67&gt;=0.999,1,IF(M67&gt;=0.5,0.7,0.3))-L119))</f>
        <v>11400</v>
      </c>
      <c r="N106" s="67" t="n">
        <f aca="false">IF(N$5="A",Inputs_Actuals!N167,IF(Assumptions!N$201&lt;Project_Register!$I$13,0,Project_Register!$F$13*IF(N67&gt;=0.999,1,IF(N67&gt;=0.5,0.7,0.3))-M119))</f>
        <v>0</v>
      </c>
      <c r="O106" s="67" t="n">
        <f aca="false">IF(O$5="A",Inputs_Actuals!O167,IF(Assumptions!O$201&lt;Project_Register!$I$13,0,Project_Register!$F$13*IF(O67&gt;=0.999,1,IF(O67&gt;=0.5,0.7,0.3))-N119))</f>
        <v>0</v>
      </c>
      <c r="P106" s="67" t="n">
        <f aca="false">IF(P$5="A",Inputs_Actuals!P167,IF(Assumptions!P$201&lt;Project_Register!$I$13,0,Project_Register!$F$13*IF(P67&gt;=0.999,1,IF(P67&gt;=0.5,0.7,0.3))-O119))</f>
        <v>0</v>
      </c>
      <c r="Q106" s="67" t="n">
        <f aca="false">IF(Q$5="A",Inputs_Actuals!Q167,IF(Assumptions!Q$201&lt;Project_Register!$I$13,0,Project_Register!$F$13*IF(Q67&gt;=0.999,1,IF(Q67&gt;=0.5,0.7,0.3))-P119))</f>
        <v>0</v>
      </c>
      <c r="R106" s="67" t="n">
        <f aca="false">IF(R$5="A",Inputs_Actuals!R167,IF(Assumptions!R$201&lt;Project_Register!$I$13,0,Project_Register!$F$13*IF(R67&gt;=0.999,1,IF(R67&gt;=0.5,0.7,0.3))-Q119))</f>
        <v>0</v>
      </c>
      <c r="S106" s="67" t="n">
        <f aca="false">IF(S$5="A",Inputs_Actuals!S167,IF(Assumptions!S$201&lt;Project_Register!$I$13,0,Project_Register!$F$13*IF(S67&gt;=0.999,1,IF(S67&gt;=0.5,0.7,0.3))-R119))</f>
        <v>0</v>
      </c>
      <c r="T106" s="67" t="n">
        <f aca="false">IF(T$5="A",Inputs_Actuals!T167,IF(Assumptions!T$201&lt;Project_Register!$I$13,0,Project_Register!$F$13*IF(T67&gt;=0.999,1,IF(T67&gt;=0.5,0.7,0.3))-S119))</f>
        <v>0</v>
      </c>
      <c r="U106" s="67" t="n">
        <f aca="false">IF(U$5="A",Inputs_Actuals!U167,IF(Assumptions!U$201&lt;Project_Register!$I$13,0,Project_Register!$F$13*IF(U67&gt;=0.999,1,IF(U67&gt;=0.5,0.7,0.3))-T119))</f>
        <v>0</v>
      </c>
      <c r="V106" s="67" t="n">
        <f aca="false">IF(V$5="A",Inputs_Actuals!V167,IF(Assumptions!V$201&lt;Project_Register!$I$13,0,Project_Register!$F$13*IF(V67&gt;=0.999,1,IF(V67&gt;=0.5,0.7,0.3))-U119))</f>
        <v>0</v>
      </c>
      <c r="W106" s="67" t="n">
        <f aca="false">IF(W$5="A",Inputs_Actuals!W167,IF(Assumptions!W$201&lt;Project_Register!$I$13,0,Project_Register!$F$13*IF(W67&gt;=0.999,1,IF(W67&gt;=0.5,0.7,0.3))-V119))</f>
        <v>0</v>
      </c>
      <c r="X106" s="67" t="n">
        <f aca="false">IF(X$5="A",Inputs_Actuals!X167,IF(Assumptions!X$201&lt;Project_Register!$I$13,0,Project_Register!$F$13*IF(X67&gt;=0.999,1,IF(X67&gt;=0.5,0.7,0.3))-W119))</f>
        <v>0</v>
      </c>
      <c r="Y106" s="67" t="n">
        <f aca="false">IF(Y$5="A",Inputs_Actuals!Y167,IF(Assumptions!Y$201&lt;Project_Register!$I$13,0,Project_Register!$F$13*IF(Y67&gt;=0.999,1,IF(Y67&gt;=0.5,0.7,0.3))-X119))</f>
        <v>0</v>
      </c>
      <c r="Z106" s="67" t="n">
        <f aca="false">IF(Z$5="A",Inputs_Actuals!Z167,IF(Assumptions!Z$201&lt;Project_Register!$I$13,0,Project_Register!$F$13*IF(Z67&gt;=0.999,1,IF(Z67&gt;=0.5,0.7,0.3))-Y119))</f>
        <v>0</v>
      </c>
      <c r="AA106" s="67" t="n">
        <f aca="false">IF(AA$5="A",Inputs_Actuals!AA167,IF(Assumptions!AA$201&lt;Project_Register!$I$13,0,Project_Register!$F$13*IF(AA67&gt;=0.999,1,IF(AA67&gt;=0.5,0.7,0.3))-Z119))</f>
        <v>0</v>
      </c>
      <c r="AB106" s="67" t="n">
        <f aca="false">IF(AB$5="A",Inputs_Actuals!AB167,IF(Assumptions!AB$201&lt;Project_Register!$I$13,0,Project_Register!$F$13*IF(AB67&gt;=0.999,1,IF(AB67&gt;=0.5,0.7,0.3))-AA119))</f>
        <v>0</v>
      </c>
    </row>
    <row r="107" customFormat="false" ht="15" hidden="false" customHeight="false" outlineLevel="0" collapsed="false">
      <c r="A107" s="27" t="s">
        <v>947</v>
      </c>
      <c r="B107" s="63"/>
      <c r="C107" s="66" t="n">
        <f aca="false">SUM(E107:P107)</f>
        <v>61600</v>
      </c>
      <c r="D107" s="66" t="n">
        <f aca="false">SUM(Q107:AB107)</f>
        <v>26400</v>
      </c>
      <c r="E107" s="67" t="n">
        <f aca="false">IF(E$5="A",Inputs_Actuals!E170,IF(Assumptions!E$201&lt;Project_Register!$I$14,0,Project_Register!$F$14*IF(E68&gt;=0.999,1,IF(E68&gt;=0.5,0.7,0.3))-Project_Register!$P$14))</f>
        <v>0</v>
      </c>
      <c r="F107" s="67" t="n">
        <f aca="false">IF(F$5="A",Inputs_Actuals!F170,IF(Assumptions!F$201&lt;Project_Register!$I$14,0,Project_Register!$F$14*IF(F68&gt;=0.999,1,IF(F68&gt;=0.5,0.7,0.3))-E120))</f>
        <v>0</v>
      </c>
      <c r="G107" s="67" t="n">
        <f aca="false">IF(G$5="A",Inputs_Actuals!G170,IF(Assumptions!G$201&lt;Project_Register!$I$14,0,Project_Register!$F$14*IF(G68&gt;=0.999,1,IF(G68&gt;=0.5,0.7,0.3))-F120))</f>
        <v>0</v>
      </c>
      <c r="H107" s="67" t="n">
        <f aca="false">IF(H$5="A",Inputs_Actuals!H170,IF(Assumptions!H$201&lt;Project_Register!$I$14,0,Project_Register!$F$14*IF(H68&gt;=0.999,1,IF(H68&gt;=0.5,0.7,0.3))-G120))</f>
        <v>0</v>
      </c>
      <c r="I107" s="67" t="n">
        <f aca="false">IF(I$5="A",Inputs_Actuals!I170,IF(Assumptions!I$201&lt;Project_Register!$I$14,0,Project_Register!$F$14*IF(I68&gt;=0.999,1,IF(I68&gt;=0.5,0.7,0.3))-H120))</f>
        <v>0</v>
      </c>
      <c r="J107" s="67" t="n">
        <f aca="false">IF(J$5="A",Inputs_Actuals!J170,IF(Assumptions!J$201&lt;Project_Register!$I$14,0,Project_Register!$F$14*IF(J68&gt;=0.999,1,IF(J68&gt;=0.5,0.7,0.3))-I120))</f>
        <v>0</v>
      </c>
      <c r="K107" s="67" t="n">
        <f aca="false">IF(K$5="A",Inputs_Actuals!K170,IF(Assumptions!K$201&lt;Project_Register!$I$14,0,Project_Register!$F$14*IF(K68&gt;=0.999,1,IF(K68&gt;=0.5,0.7,0.3))-J120))</f>
        <v>0</v>
      </c>
      <c r="L107" s="67" t="n">
        <f aca="false">IF(L$5="A",Inputs_Actuals!L170,IF(Assumptions!L$201&lt;Project_Register!$I$14,0,Project_Register!$F$14*IF(L68&gt;=0.999,1,IF(L68&gt;=0.5,0.7,0.3))-K120))</f>
        <v>0</v>
      </c>
      <c r="M107" s="67" t="n">
        <f aca="false">IF(M$5="A",Inputs_Actuals!M170,IF(Assumptions!M$201&lt;Project_Register!$I$14,0,Project_Register!$F$14*IF(M68&gt;=0.999,1,IF(M68&gt;=0.5,0.7,0.3))-L120))</f>
        <v>26400</v>
      </c>
      <c r="N107" s="67" t="n">
        <f aca="false">IF(N$5="A",Inputs_Actuals!N170,IF(Assumptions!N$201&lt;Project_Register!$I$14,0,Project_Register!$F$14*IF(N68&gt;=0.999,1,IF(N68&gt;=0.5,0.7,0.3))-M120))</f>
        <v>0</v>
      </c>
      <c r="O107" s="67" t="n">
        <f aca="false">IF(O$5="A",Inputs_Actuals!O170,IF(Assumptions!O$201&lt;Project_Register!$I$14,0,Project_Register!$F$14*IF(O68&gt;=0.999,1,IF(O68&gt;=0.5,0.7,0.3))-N120))</f>
        <v>35200</v>
      </c>
      <c r="P107" s="67" t="n">
        <f aca="false">IF(P$5="A",Inputs_Actuals!P170,IF(Assumptions!P$201&lt;Project_Register!$I$14,0,Project_Register!$F$14*IF(P68&gt;=0.999,1,IF(P68&gt;=0.5,0.7,0.3))-O120))</f>
        <v>0</v>
      </c>
      <c r="Q107" s="67" t="n">
        <f aca="false">IF(Q$5="A",Inputs_Actuals!Q170,IF(Assumptions!Q$201&lt;Project_Register!$I$14,0,Project_Register!$F$14*IF(Q68&gt;=0.999,1,IF(Q68&gt;=0.5,0.7,0.3))-P120))</f>
        <v>26400</v>
      </c>
      <c r="R107" s="67" t="n">
        <f aca="false">IF(R$5="A",Inputs_Actuals!R170,IF(Assumptions!R$201&lt;Project_Register!$I$14,0,Project_Register!$F$14*IF(R68&gt;=0.999,1,IF(R68&gt;=0.5,0.7,0.3))-Q120))</f>
        <v>0</v>
      </c>
      <c r="S107" s="67" t="n">
        <f aca="false">IF(S$5="A",Inputs_Actuals!S170,IF(Assumptions!S$201&lt;Project_Register!$I$14,0,Project_Register!$F$14*IF(S68&gt;=0.999,1,IF(S68&gt;=0.5,0.7,0.3))-R120))</f>
        <v>0</v>
      </c>
      <c r="T107" s="67" t="n">
        <f aca="false">IF(T$5="A",Inputs_Actuals!T170,IF(Assumptions!T$201&lt;Project_Register!$I$14,0,Project_Register!$F$14*IF(T68&gt;=0.999,1,IF(T68&gt;=0.5,0.7,0.3))-S120))</f>
        <v>0</v>
      </c>
      <c r="U107" s="67" t="n">
        <f aca="false">IF(U$5="A",Inputs_Actuals!U170,IF(Assumptions!U$201&lt;Project_Register!$I$14,0,Project_Register!$F$14*IF(U68&gt;=0.999,1,IF(U68&gt;=0.5,0.7,0.3))-T120))</f>
        <v>0</v>
      </c>
      <c r="V107" s="67" t="n">
        <f aca="false">IF(V$5="A",Inputs_Actuals!V170,IF(Assumptions!V$201&lt;Project_Register!$I$14,0,Project_Register!$F$14*IF(V68&gt;=0.999,1,IF(V68&gt;=0.5,0.7,0.3))-U120))</f>
        <v>0</v>
      </c>
      <c r="W107" s="67" t="n">
        <f aca="false">IF(W$5="A",Inputs_Actuals!W170,IF(Assumptions!W$201&lt;Project_Register!$I$14,0,Project_Register!$F$14*IF(W68&gt;=0.999,1,IF(W68&gt;=0.5,0.7,0.3))-V120))</f>
        <v>0</v>
      </c>
      <c r="X107" s="67" t="n">
        <f aca="false">IF(X$5="A",Inputs_Actuals!X170,IF(Assumptions!X$201&lt;Project_Register!$I$14,0,Project_Register!$F$14*IF(X68&gt;=0.999,1,IF(X68&gt;=0.5,0.7,0.3))-W120))</f>
        <v>0</v>
      </c>
      <c r="Y107" s="67" t="n">
        <f aca="false">IF(Y$5="A",Inputs_Actuals!Y170,IF(Assumptions!Y$201&lt;Project_Register!$I$14,0,Project_Register!$F$14*IF(Y68&gt;=0.999,1,IF(Y68&gt;=0.5,0.7,0.3))-X120))</f>
        <v>0</v>
      </c>
      <c r="Z107" s="67" t="n">
        <f aca="false">IF(Z$5="A",Inputs_Actuals!Z170,IF(Assumptions!Z$201&lt;Project_Register!$I$14,0,Project_Register!$F$14*IF(Z68&gt;=0.999,1,IF(Z68&gt;=0.5,0.7,0.3))-Y120))</f>
        <v>0</v>
      </c>
      <c r="AA107" s="67" t="n">
        <f aca="false">IF(AA$5="A",Inputs_Actuals!AA170,IF(Assumptions!AA$201&lt;Project_Register!$I$14,0,Project_Register!$F$14*IF(AA68&gt;=0.999,1,IF(AA68&gt;=0.5,0.7,0.3))-Z120))</f>
        <v>0</v>
      </c>
      <c r="AB107" s="67" t="n">
        <f aca="false">IF(AB$5="A",Inputs_Actuals!AB170,IF(Assumptions!AB$201&lt;Project_Register!$I$14,0,Project_Register!$F$14*IF(AB68&gt;=0.999,1,IF(AB68&gt;=0.5,0.7,0.3))-AA120))</f>
        <v>0</v>
      </c>
    </row>
    <row r="108" customFormat="false" ht="15" hidden="false" customHeight="false" outlineLevel="0" collapsed="false">
      <c r="A108" s="27" t="s">
        <v>948</v>
      </c>
      <c r="B108" s="63"/>
      <c r="C108" s="66" t="n">
        <f aca="false">SUM(E108:P108)</f>
        <v>61440</v>
      </c>
      <c r="D108" s="66" t="n">
        <f aca="false">SUM(Q108:AB108)</f>
        <v>0</v>
      </c>
      <c r="E108" s="67" t="n">
        <f aca="false">IF(E$5="A",Inputs_Actuals!E173,E82)</f>
        <v>4992</v>
      </c>
      <c r="F108" s="67" t="n">
        <f aca="false">IF(F$5="A",Inputs_Actuals!F173,F82)</f>
        <v>5248</v>
      </c>
      <c r="G108" s="67" t="n">
        <f aca="false">IF(G$5="A",Inputs_Actuals!G173,G82)</f>
        <v>5120</v>
      </c>
      <c r="H108" s="67" t="n">
        <f aca="false">IF(H$5="A",Inputs_Actuals!H173,H82)</f>
        <v>5056</v>
      </c>
      <c r="I108" s="67" t="n">
        <f aca="false">IF(I$5="A",Inputs_Actuals!I173,I82)</f>
        <v>5184</v>
      </c>
      <c r="J108" s="67" t="n">
        <f aca="false">IF(J$5="A",Inputs_Actuals!J173,J82)</f>
        <v>5312</v>
      </c>
      <c r="K108" s="67" t="n">
        <f aca="false">IF(K$5="A",Inputs_Actuals!K173,K82)</f>
        <v>5120</v>
      </c>
      <c r="L108" s="67" t="n">
        <f aca="false">IF(L$5="A",Inputs_Actuals!L173,L82)</f>
        <v>3712</v>
      </c>
      <c r="M108" s="67" t="n">
        <f aca="false">IF(M$5="A",Inputs_Actuals!M173,M82)</f>
        <v>5424</v>
      </c>
      <c r="N108" s="67" t="n">
        <f aca="false">IF(N$5="A",Inputs_Actuals!N173,N82)</f>
        <v>5424</v>
      </c>
      <c r="O108" s="67" t="n">
        <f aca="false">IF(O$5="A",Inputs_Actuals!O173,O82)</f>
        <v>5424</v>
      </c>
      <c r="P108" s="67" t="n">
        <f aca="false">IF(P$5="A",Inputs_Actuals!P173,P82)</f>
        <v>5424</v>
      </c>
      <c r="Q108" s="67" t="n">
        <f aca="false">IF(Q$5="A",Inputs_Actuals!Q173,Q82)</f>
        <v>0</v>
      </c>
      <c r="R108" s="67" t="n">
        <f aca="false">IF(R$5="A",Inputs_Actuals!R173,R82)</f>
        <v>0</v>
      </c>
      <c r="S108" s="67" t="n">
        <f aca="false">IF(S$5="A",Inputs_Actuals!S173,S82)</f>
        <v>0</v>
      </c>
      <c r="T108" s="67" t="n">
        <f aca="false">IF(T$5="A",Inputs_Actuals!T173,T82)</f>
        <v>0</v>
      </c>
      <c r="U108" s="67" t="n">
        <f aca="false">IF(U$5="A",Inputs_Actuals!U173,U82)</f>
        <v>0</v>
      </c>
      <c r="V108" s="67" t="n">
        <f aca="false">IF(V$5="A",Inputs_Actuals!V173,V82)</f>
        <v>0</v>
      </c>
      <c r="W108" s="67" t="n">
        <f aca="false">IF(W$5="A",Inputs_Actuals!W173,W82)</f>
        <v>0</v>
      </c>
      <c r="X108" s="67" t="n">
        <f aca="false">IF(X$5="A",Inputs_Actuals!X173,X82)</f>
        <v>0</v>
      </c>
      <c r="Y108" s="67" t="n">
        <f aca="false">IF(Y$5="A",Inputs_Actuals!Y173,Y82)</f>
        <v>0</v>
      </c>
      <c r="Z108" s="67" t="n">
        <f aca="false">IF(Z$5="A",Inputs_Actuals!Z173,Z82)</f>
        <v>0</v>
      </c>
      <c r="AA108" s="67" t="n">
        <f aca="false">IF(AA$5="A",Inputs_Actuals!AA173,AA82)</f>
        <v>0</v>
      </c>
      <c r="AB108" s="67" t="n">
        <f aca="false">IF(AB$5="A",Inputs_Actuals!AB173,AB82)</f>
        <v>0</v>
      </c>
    </row>
    <row r="109" customFormat="false" ht="15" hidden="false" customHeight="false" outlineLevel="0" collapsed="false">
      <c r="A109" s="27" t="s">
        <v>949</v>
      </c>
      <c r="B109" s="63"/>
      <c r="C109" s="66" t="n">
        <f aca="false">SUM(E109:P109)</f>
        <v>36000</v>
      </c>
      <c r="D109" s="66" t="n">
        <f aca="false">SUM(Q109:AB109)</f>
        <v>0</v>
      </c>
      <c r="E109" s="67" t="n">
        <f aca="false">IF(E$5="A",Inputs_Actuals!E176,IF(Assumptions!E$201&lt;Project_Register!$I$16,0,Project_Register!$F$16*IF(E70&gt;=0.999,1,IF(E70&gt;=0.5,0.7,0.3))-Project_Register!$P$16))</f>
        <v>0</v>
      </c>
      <c r="F109" s="67" t="n">
        <f aca="false">IF(F$5="A",Inputs_Actuals!F176,IF(Assumptions!F$201&lt;Project_Register!$I$16,0,Project_Register!$F$16*IF(F70&gt;=0.999,1,IF(F70&gt;=0.5,0.7,0.3))-E122))</f>
        <v>0</v>
      </c>
      <c r="G109" s="67" t="n">
        <f aca="false">IF(G$5="A",Inputs_Actuals!G176,IF(Assumptions!G$201&lt;Project_Register!$I$16,0,Project_Register!$F$16*IF(G70&gt;=0.999,1,IF(G70&gt;=0.5,0.7,0.3))-F122))</f>
        <v>0</v>
      </c>
      <c r="H109" s="67" t="n">
        <f aca="false">IF(H$5="A",Inputs_Actuals!H176,IF(Assumptions!H$201&lt;Project_Register!$I$16,0,Project_Register!$F$16*IF(H70&gt;=0.999,1,IF(H70&gt;=0.5,0.7,0.3))-G122))</f>
        <v>0</v>
      </c>
      <c r="I109" s="67" t="n">
        <f aca="false">IF(I$5="A",Inputs_Actuals!I176,IF(Assumptions!I$201&lt;Project_Register!$I$16,0,Project_Register!$F$16*IF(I70&gt;=0.999,1,IF(I70&gt;=0.5,0.7,0.3))-H122))</f>
        <v>0</v>
      </c>
      <c r="J109" s="67" t="n">
        <f aca="false">IF(J$5="A",Inputs_Actuals!J176,IF(Assumptions!J$201&lt;Project_Register!$I$16,0,Project_Register!$F$16*IF(J70&gt;=0.999,1,IF(J70&gt;=0.5,0.7,0.3))-I122))</f>
        <v>0</v>
      </c>
      <c r="K109" s="67" t="n">
        <f aca="false">IF(K$5="A",Inputs_Actuals!K176,IF(Assumptions!K$201&lt;Project_Register!$I$16,0,Project_Register!$F$16*IF(K70&gt;=0.999,1,IF(K70&gt;=0.5,0.7,0.3))-J122))</f>
        <v>10800</v>
      </c>
      <c r="L109" s="67" t="n">
        <f aca="false">IF(L$5="A",Inputs_Actuals!L176,IF(Assumptions!L$201&lt;Project_Register!$I$16,0,Project_Register!$F$16*IF(L70&gt;=0.999,1,IF(L70&gt;=0.5,0.7,0.3))-K122))</f>
        <v>14400</v>
      </c>
      <c r="M109" s="67" t="n">
        <f aca="false">IF(M$5="A",Inputs_Actuals!M176,IF(Assumptions!M$201&lt;Project_Register!$I$16,0,Project_Register!$F$16*IF(M70&gt;=0.999,1,IF(M70&gt;=0.5,0.7,0.3))-L122))</f>
        <v>10800</v>
      </c>
      <c r="N109" s="67" t="n">
        <f aca="false">IF(N$5="A",Inputs_Actuals!N176,IF(Assumptions!N$201&lt;Project_Register!$I$16,0,Project_Register!$F$16*IF(N70&gt;=0.999,1,IF(N70&gt;=0.5,0.7,0.3))-M122))</f>
        <v>0</v>
      </c>
      <c r="O109" s="67" t="n">
        <f aca="false">IF(O$5="A",Inputs_Actuals!O176,IF(Assumptions!O$201&lt;Project_Register!$I$16,0,Project_Register!$F$16*IF(O70&gt;=0.999,1,IF(O70&gt;=0.5,0.7,0.3))-N122))</f>
        <v>0</v>
      </c>
      <c r="P109" s="67" t="n">
        <f aca="false">IF(P$5="A",Inputs_Actuals!P176,IF(Assumptions!P$201&lt;Project_Register!$I$16,0,Project_Register!$F$16*IF(P70&gt;=0.999,1,IF(P70&gt;=0.5,0.7,0.3))-O122))</f>
        <v>0</v>
      </c>
      <c r="Q109" s="67" t="n">
        <f aca="false">IF(Q$5="A",Inputs_Actuals!Q176,IF(Assumptions!Q$201&lt;Project_Register!$I$16,0,Project_Register!$F$16*IF(Q70&gt;=0.999,1,IF(Q70&gt;=0.5,0.7,0.3))-P122))</f>
        <v>0</v>
      </c>
      <c r="R109" s="67" t="n">
        <f aca="false">IF(R$5="A",Inputs_Actuals!R176,IF(Assumptions!R$201&lt;Project_Register!$I$16,0,Project_Register!$F$16*IF(R70&gt;=0.999,1,IF(R70&gt;=0.5,0.7,0.3))-Q122))</f>
        <v>0</v>
      </c>
      <c r="S109" s="67" t="n">
        <f aca="false">IF(S$5="A",Inputs_Actuals!S176,IF(Assumptions!S$201&lt;Project_Register!$I$16,0,Project_Register!$F$16*IF(S70&gt;=0.999,1,IF(S70&gt;=0.5,0.7,0.3))-R122))</f>
        <v>0</v>
      </c>
      <c r="T109" s="67" t="n">
        <f aca="false">IF(T$5="A",Inputs_Actuals!T176,IF(Assumptions!T$201&lt;Project_Register!$I$16,0,Project_Register!$F$16*IF(T70&gt;=0.999,1,IF(T70&gt;=0.5,0.7,0.3))-S122))</f>
        <v>0</v>
      </c>
      <c r="U109" s="67" t="n">
        <f aca="false">IF(U$5="A",Inputs_Actuals!U176,IF(Assumptions!U$201&lt;Project_Register!$I$16,0,Project_Register!$F$16*IF(U70&gt;=0.999,1,IF(U70&gt;=0.5,0.7,0.3))-T122))</f>
        <v>0</v>
      </c>
      <c r="V109" s="67" t="n">
        <f aca="false">IF(V$5="A",Inputs_Actuals!V176,IF(Assumptions!V$201&lt;Project_Register!$I$16,0,Project_Register!$F$16*IF(V70&gt;=0.999,1,IF(V70&gt;=0.5,0.7,0.3))-U122))</f>
        <v>0</v>
      </c>
      <c r="W109" s="67" t="n">
        <f aca="false">IF(W$5="A",Inputs_Actuals!W176,IF(Assumptions!W$201&lt;Project_Register!$I$16,0,Project_Register!$F$16*IF(W70&gt;=0.999,1,IF(W70&gt;=0.5,0.7,0.3))-V122))</f>
        <v>0</v>
      </c>
      <c r="X109" s="67" t="n">
        <f aca="false">IF(X$5="A",Inputs_Actuals!X176,IF(Assumptions!X$201&lt;Project_Register!$I$16,0,Project_Register!$F$16*IF(X70&gt;=0.999,1,IF(X70&gt;=0.5,0.7,0.3))-W122))</f>
        <v>0</v>
      </c>
      <c r="Y109" s="67" t="n">
        <f aca="false">IF(Y$5="A",Inputs_Actuals!Y176,IF(Assumptions!Y$201&lt;Project_Register!$I$16,0,Project_Register!$F$16*IF(Y70&gt;=0.999,1,IF(Y70&gt;=0.5,0.7,0.3))-X122))</f>
        <v>0</v>
      </c>
      <c r="Z109" s="67" t="n">
        <f aca="false">IF(Z$5="A",Inputs_Actuals!Z176,IF(Assumptions!Z$201&lt;Project_Register!$I$16,0,Project_Register!$F$16*IF(Z70&gt;=0.999,1,IF(Z70&gt;=0.5,0.7,0.3))-Y122))</f>
        <v>0</v>
      </c>
      <c r="AA109" s="67" t="n">
        <f aca="false">IF(AA$5="A",Inputs_Actuals!AA176,IF(Assumptions!AA$201&lt;Project_Register!$I$16,0,Project_Register!$F$16*IF(AA70&gt;=0.999,1,IF(AA70&gt;=0.5,0.7,0.3))-Z122))</f>
        <v>0</v>
      </c>
      <c r="AB109" s="67" t="n">
        <f aca="false">IF(AB$5="A",Inputs_Actuals!AB176,IF(Assumptions!AB$201&lt;Project_Register!$I$16,0,Project_Register!$F$16*IF(AB70&gt;=0.999,1,IF(AB70&gt;=0.5,0.7,0.3))-AA122))</f>
        <v>0</v>
      </c>
    </row>
    <row r="110" customFormat="false" ht="15" hidden="false" customHeight="false" outlineLevel="0" collapsed="false">
      <c r="A110" s="27" t="s">
        <v>950</v>
      </c>
      <c r="B110" s="63"/>
      <c r="C110" s="66" t="n">
        <f aca="false">SUM(E110:P110)</f>
        <v>72000</v>
      </c>
      <c r="D110" s="66" t="n">
        <f aca="false">SUM(Q110:AB110)</f>
        <v>0</v>
      </c>
      <c r="E110" s="67" t="n">
        <f aca="false">IF(E$5="A",Inputs_Actuals!E179,IF(Assumptions!E$201&lt;Project_Register!$I$17,0,Project_Register!$F$17*IF(E71&gt;=0.999,1,IF(E71&gt;=0.5,0.7,0.3))-Project_Register!$P$17))</f>
        <v>21600</v>
      </c>
      <c r="F110" s="67" t="n">
        <f aca="false">IF(F$5="A",Inputs_Actuals!F179,IF(Assumptions!F$201&lt;Project_Register!$I$17,0,Project_Register!$F$17*IF(F71&gt;=0.999,1,IF(F71&gt;=0.5,0.7,0.3))-E123))</f>
        <v>0</v>
      </c>
      <c r="G110" s="67" t="n">
        <f aca="false">IF(G$5="A",Inputs_Actuals!G179,IF(Assumptions!G$201&lt;Project_Register!$I$17,0,Project_Register!$F$17*IF(G71&gt;=0.999,1,IF(G71&gt;=0.5,0.7,0.3))-F123))</f>
        <v>28800</v>
      </c>
      <c r="H110" s="67" t="n">
        <f aca="false">IF(H$5="A",Inputs_Actuals!H179,IF(Assumptions!H$201&lt;Project_Register!$I$17,0,Project_Register!$F$17*IF(H71&gt;=0.999,1,IF(H71&gt;=0.5,0.7,0.3))-G123))</f>
        <v>0</v>
      </c>
      <c r="I110" s="67" t="n">
        <f aca="false">IF(I$5="A",Inputs_Actuals!I179,IF(Assumptions!I$201&lt;Project_Register!$I$17,0,Project_Register!$F$17*IF(I71&gt;=0.999,1,IF(I71&gt;=0.5,0.7,0.3))-H123))</f>
        <v>0</v>
      </c>
      <c r="J110" s="67" t="n">
        <f aca="false">IF(J$5="A",Inputs_Actuals!J179,IF(Assumptions!J$201&lt;Project_Register!$I$17,0,Project_Register!$F$17*IF(J71&gt;=0.999,1,IF(J71&gt;=0.5,0.7,0.3))-I123))</f>
        <v>21600</v>
      </c>
      <c r="K110" s="67" t="n">
        <f aca="false">IF(K$5="A",Inputs_Actuals!K179,IF(Assumptions!K$201&lt;Project_Register!$I$17,0,Project_Register!$F$17*IF(K71&gt;=0.999,1,IF(K71&gt;=0.5,0.7,0.3))-J123))</f>
        <v>0</v>
      </c>
      <c r="L110" s="67" t="n">
        <f aca="false">IF(L$5="A",Inputs_Actuals!L179,IF(Assumptions!L$201&lt;Project_Register!$I$17,0,Project_Register!$F$17*IF(L71&gt;=0.999,1,IF(L71&gt;=0.5,0.7,0.3))-K123))</f>
        <v>0</v>
      </c>
      <c r="M110" s="67" t="n">
        <f aca="false">IF(M$5="A",Inputs_Actuals!M179,IF(Assumptions!M$201&lt;Project_Register!$I$17,0,Project_Register!$F$17*IF(M71&gt;=0.999,1,IF(M71&gt;=0.5,0.7,0.3))-L123))</f>
        <v>0</v>
      </c>
      <c r="N110" s="67" t="n">
        <f aca="false">IF(N$5="A",Inputs_Actuals!N179,IF(Assumptions!N$201&lt;Project_Register!$I$17,0,Project_Register!$F$17*IF(N71&gt;=0.999,1,IF(N71&gt;=0.5,0.7,0.3))-M123))</f>
        <v>0</v>
      </c>
      <c r="O110" s="67" t="n">
        <f aca="false">IF(O$5="A",Inputs_Actuals!O179,IF(Assumptions!O$201&lt;Project_Register!$I$17,0,Project_Register!$F$17*IF(O71&gt;=0.999,1,IF(O71&gt;=0.5,0.7,0.3))-N123))</f>
        <v>0</v>
      </c>
      <c r="P110" s="67" t="n">
        <f aca="false">IF(P$5="A",Inputs_Actuals!P179,IF(Assumptions!P$201&lt;Project_Register!$I$17,0,Project_Register!$F$17*IF(P71&gt;=0.999,1,IF(P71&gt;=0.5,0.7,0.3))-O123))</f>
        <v>0</v>
      </c>
      <c r="Q110" s="67" t="n">
        <f aca="false">IF(Q$5="A",Inputs_Actuals!Q179,IF(Assumptions!Q$201&lt;Project_Register!$I$17,0,Project_Register!$F$17*IF(Q71&gt;=0.999,1,IF(Q71&gt;=0.5,0.7,0.3))-P123))</f>
        <v>0</v>
      </c>
      <c r="R110" s="67" t="n">
        <f aca="false">IF(R$5="A",Inputs_Actuals!R179,IF(Assumptions!R$201&lt;Project_Register!$I$17,0,Project_Register!$F$17*IF(R71&gt;=0.999,1,IF(R71&gt;=0.5,0.7,0.3))-Q123))</f>
        <v>0</v>
      </c>
      <c r="S110" s="67" t="n">
        <f aca="false">IF(S$5="A",Inputs_Actuals!S179,IF(Assumptions!S$201&lt;Project_Register!$I$17,0,Project_Register!$F$17*IF(S71&gt;=0.999,1,IF(S71&gt;=0.5,0.7,0.3))-R123))</f>
        <v>0</v>
      </c>
      <c r="T110" s="67" t="n">
        <f aca="false">IF(T$5="A",Inputs_Actuals!T179,IF(Assumptions!T$201&lt;Project_Register!$I$17,0,Project_Register!$F$17*IF(T71&gt;=0.999,1,IF(T71&gt;=0.5,0.7,0.3))-S123))</f>
        <v>0</v>
      </c>
      <c r="U110" s="67" t="n">
        <f aca="false">IF(U$5="A",Inputs_Actuals!U179,IF(Assumptions!U$201&lt;Project_Register!$I$17,0,Project_Register!$F$17*IF(U71&gt;=0.999,1,IF(U71&gt;=0.5,0.7,0.3))-T123))</f>
        <v>0</v>
      </c>
      <c r="V110" s="67" t="n">
        <f aca="false">IF(V$5="A",Inputs_Actuals!V179,IF(Assumptions!V$201&lt;Project_Register!$I$17,0,Project_Register!$F$17*IF(V71&gt;=0.999,1,IF(V71&gt;=0.5,0.7,0.3))-U123))</f>
        <v>0</v>
      </c>
      <c r="W110" s="67" t="n">
        <f aca="false">IF(W$5="A",Inputs_Actuals!W179,IF(Assumptions!W$201&lt;Project_Register!$I$17,0,Project_Register!$F$17*IF(W71&gt;=0.999,1,IF(W71&gt;=0.5,0.7,0.3))-V123))</f>
        <v>0</v>
      </c>
      <c r="X110" s="67" t="n">
        <f aca="false">IF(X$5="A",Inputs_Actuals!X179,IF(Assumptions!X$201&lt;Project_Register!$I$17,0,Project_Register!$F$17*IF(X71&gt;=0.999,1,IF(X71&gt;=0.5,0.7,0.3))-W123))</f>
        <v>0</v>
      </c>
      <c r="Y110" s="67" t="n">
        <f aca="false">IF(Y$5="A",Inputs_Actuals!Y179,IF(Assumptions!Y$201&lt;Project_Register!$I$17,0,Project_Register!$F$17*IF(Y71&gt;=0.999,1,IF(Y71&gt;=0.5,0.7,0.3))-X123))</f>
        <v>0</v>
      </c>
      <c r="Z110" s="67" t="n">
        <f aca="false">IF(Z$5="A",Inputs_Actuals!Z179,IF(Assumptions!Z$201&lt;Project_Register!$I$17,0,Project_Register!$F$17*IF(Z71&gt;=0.999,1,IF(Z71&gt;=0.5,0.7,0.3))-Y123))</f>
        <v>0</v>
      </c>
      <c r="AA110" s="67" t="n">
        <f aca="false">IF(AA$5="A",Inputs_Actuals!AA179,IF(Assumptions!AA$201&lt;Project_Register!$I$17,0,Project_Register!$F$17*IF(AA71&gt;=0.999,1,IF(AA71&gt;=0.5,0.7,0.3))-Z123))</f>
        <v>0</v>
      </c>
      <c r="AB110" s="67" t="n">
        <f aca="false">IF(AB$5="A",Inputs_Actuals!AB179,IF(Assumptions!AB$201&lt;Project_Register!$I$17,0,Project_Register!$F$17*IF(AB71&gt;=0.999,1,IF(AB71&gt;=0.5,0.7,0.3))-AA123))</f>
        <v>0</v>
      </c>
    </row>
    <row r="111" customFormat="false" ht="15" hidden="false" customHeight="false" outlineLevel="0" collapsed="false">
      <c r="A111" s="27" t="s">
        <v>951</v>
      </c>
      <c r="B111" s="63"/>
      <c r="C111" s="66" t="n">
        <f aca="false">SUM(E111:P111)</f>
        <v>24000</v>
      </c>
      <c r="D111" s="66" t="n">
        <f aca="false">SUM(Q111:AB111)</f>
        <v>0</v>
      </c>
      <c r="E111" s="67" t="n">
        <f aca="false">IF(E$5="A",Inputs_Actuals!E182,IF(Assumptions!E$201&lt;Project_Register!$I$18,0,Project_Register!$F$18*IF(E72&gt;=0.999,1,IF(E72&gt;=0.5,0.7,0.3))-Project_Register!$P$18))</f>
        <v>0</v>
      </c>
      <c r="F111" s="67" t="n">
        <f aca="false">IF(F$5="A",Inputs_Actuals!F182,IF(Assumptions!F$201&lt;Project_Register!$I$18,0,Project_Register!$F$18*IF(F72&gt;=0.999,1,IF(F72&gt;=0.5,0.7,0.3))-E124))</f>
        <v>0</v>
      </c>
      <c r="G111" s="67" t="n">
        <f aca="false">IF(G$5="A",Inputs_Actuals!G182,IF(Assumptions!G$201&lt;Project_Register!$I$18,0,Project_Register!$F$18*IF(G72&gt;=0.999,1,IF(G72&gt;=0.5,0.7,0.3))-F124))</f>
        <v>0</v>
      </c>
      <c r="H111" s="67" t="n">
        <f aca="false">IF(H$5="A",Inputs_Actuals!H182,IF(Assumptions!H$201&lt;Project_Register!$I$18,0,Project_Register!$F$18*IF(H72&gt;=0.999,1,IF(H72&gt;=0.5,0.7,0.3))-G124))</f>
        <v>0</v>
      </c>
      <c r="I111" s="67" t="n">
        <f aca="false">IF(I$5="A",Inputs_Actuals!I182,IF(Assumptions!I$201&lt;Project_Register!$I$18,0,Project_Register!$F$18*IF(I72&gt;=0.999,1,IF(I72&gt;=0.5,0.7,0.3))-H124))</f>
        <v>7200</v>
      </c>
      <c r="J111" s="67" t="n">
        <f aca="false">IF(J$5="A",Inputs_Actuals!J182,IF(Assumptions!J$201&lt;Project_Register!$I$18,0,Project_Register!$F$18*IF(J72&gt;=0.999,1,IF(J72&gt;=0.5,0.7,0.3))-I124))</f>
        <v>9600</v>
      </c>
      <c r="K111" s="67" t="n">
        <f aca="false">IF(K$5="A",Inputs_Actuals!K182,IF(Assumptions!K$201&lt;Project_Register!$I$18,0,Project_Register!$F$18*IF(K72&gt;=0.999,1,IF(K72&gt;=0.5,0.7,0.3))-J124))</f>
        <v>7200</v>
      </c>
      <c r="L111" s="67" t="n">
        <f aca="false">IF(L$5="A",Inputs_Actuals!L182,IF(Assumptions!L$201&lt;Project_Register!$I$18,0,Project_Register!$F$18*IF(L72&gt;=0.999,1,IF(L72&gt;=0.5,0.7,0.3))-K124))</f>
        <v>0</v>
      </c>
      <c r="M111" s="67" t="n">
        <f aca="false">IF(M$5="A",Inputs_Actuals!M182,IF(Assumptions!M$201&lt;Project_Register!$I$18,0,Project_Register!$F$18*IF(M72&gt;=0.999,1,IF(M72&gt;=0.5,0.7,0.3))-L124))</f>
        <v>0</v>
      </c>
      <c r="N111" s="67" t="n">
        <f aca="false">IF(N$5="A",Inputs_Actuals!N182,IF(Assumptions!N$201&lt;Project_Register!$I$18,0,Project_Register!$F$18*IF(N72&gt;=0.999,1,IF(N72&gt;=0.5,0.7,0.3))-M124))</f>
        <v>0</v>
      </c>
      <c r="O111" s="67" t="n">
        <f aca="false">IF(O$5="A",Inputs_Actuals!O182,IF(Assumptions!O$201&lt;Project_Register!$I$18,0,Project_Register!$F$18*IF(O72&gt;=0.999,1,IF(O72&gt;=0.5,0.7,0.3))-N124))</f>
        <v>0</v>
      </c>
      <c r="P111" s="67" t="n">
        <f aca="false">IF(P$5="A",Inputs_Actuals!P182,IF(Assumptions!P$201&lt;Project_Register!$I$18,0,Project_Register!$F$18*IF(P72&gt;=0.999,1,IF(P72&gt;=0.5,0.7,0.3))-O124))</f>
        <v>0</v>
      </c>
      <c r="Q111" s="67" t="n">
        <f aca="false">IF(Q$5="A",Inputs_Actuals!Q182,IF(Assumptions!Q$201&lt;Project_Register!$I$18,0,Project_Register!$F$18*IF(Q72&gt;=0.999,1,IF(Q72&gt;=0.5,0.7,0.3))-P124))</f>
        <v>0</v>
      </c>
      <c r="R111" s="67" t="n">
        <f aca="false">IF(R$5="A",Inputs_Actuals!R182,IF(Assumptions!R$201&lt;Project_Register!$I$18,0,Project_Register!$F$18*IF(R72&gt;=0.999,1,IF(R72&gt;=0.5,0.7,0.3))-Q124))</f>
        <v>0</v>
      </c>
      <c r="S111" s="67" t="n">
        <f aca="false">IF(S$5="A",Inputs_Actuals!S182,IF(Assumptions!S$201&lt;Project_Register!$I$18,0,Project_Register!$F$18*IF(S72&gt;=0.999,1,IF(S72&gt;=0.5,0.7,0.3))-R124))</f>
        <v>0</v>
      </c>
      <c r="T111" s="67" t="n">
        <f aca="false">IF(T$5="A",Inputs_Actuals!T182,IF(Assumptions!T$201&lt;Project_Register!$I$18,0,Project_Register!$F$18*IF(T72&gt;=0.999,1,IF(T72&gt;=0.5,0.7,0.3))-S124))</f>
        <v>0</v>
      </c>
      <c r="U111" s="67" t="n">
        <f aca="false">IF(U$5="A",Inputs_Actuals!U182,IF(Assumptions!U$201&lt;Project_Register!$I$18,0,Project_Register!$F$18*IF(U72&gt;=0.999,1,IF(U72&gt;=0.5,0.7,0.3))-T124))</f>
        <v>0</v>
      </c>
      <c r="V111" s="67" t="n">
        <f aca="false">IF(V$5="A",Inputs_Actuals!V182,IF(Assumptions!V$201&lt;Project_Register!$I$18,0,Project_Register!$F$18*IF(V72&gt;=0.999,1,IF(V72&gt;=0.5,0.7,0.3))-U124))</f>
        <v>0</v>
      </c>
      <c r="W111" s="67" t="n">
        <f aca="false">IF(W$5="A",Inputs_Actuals!W182,IF(Assumptions!W$201&lt;Project_Register!$I$18,0,Project_Register!$F$18*IF(W72&gt;=0.999,1,IF(W72&gt;=0.5,0.7,0.3))-V124))</f>
        <v>0</v>
      </c>
      <c r="X111" s="67" t="n">
        <f aca="false">IF(X$5="A",Inputs_Actuals!X182,IF(Assumptions!X$201&lt;Project_Register!$I$18,0,Project_Register!$F$18*IF(X72&gt;=0.999,1,IF(X72&gt;=0.5,0.7,0.3))-W124))</f>
        <v>0</v>
      </c>
      <c r="Y111" s="67" t="n">
        <f aca="false">IF(Y$5="A",Inputs_Actuals!Y182,IF(Assumptions!Y$201&lt;Project_Register!$I$18,0,Project_Register!$F$18*IF(Y72&gt;=0.999,1,IF(Y72&gt;=0.5,0.7,0.3))-X124))</f>
        <v>0</v>
      </c>
      <c r="Z111" s="67" t="n">
        <f aca="false">IF(Z$5="A",Inputs_Actuals!Z182,IF(Assumptions!Z$201&lt;Project_Register!$I$18,0,Project_Register!$F$18*IF(Z72&gt;=0.999,1,IF(Z72&gt;=0.5,0.7,0.3))-Y124))</f>
        <v>0</v>
      </c>
      <c r="AA111" s="67" t="n">
        <f aca="false">IF(AA$5="A",Inputs_Actuals!AA182,IF(Assumptions!AA$201&lt;Project_Register!$I$18,0,Project_Register!$F$18*IF(AA72&gt;=0.999,1,IF(AA72&gt;=0.5,0.7,0.3))-Z124))</f>
        <v>0</v>
      </c>
      <c r="AB111" s="67" t="n">
        <f aca="false">IF(AB$5="A",Inputs_Actuals!AB182,IF(Assumptions!AB$201&lt;Project_Register!$I$18,0,Project_Register!$F$18*IF(AB72&gt;=0.999,1,IF(AB72&gt;=0.5,0.7,0.3))-AA124))</f>
        <v>0</v>
      </c>
    </row>
    <row r="112" customFormat="false" ht="15" hidden="false" customHeight="false" outlineLevel="0" collapsed="false">
      <c r="A112" s="21" t="s">
        <v>958</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row>
    <row r="113" customFormat="false" ht="15" hidden="false" customHeight="false" outlineLevel="0" collapsed="false">
      <c r="A113" s="27" t="s">
        <v>940</v>
      </c>
      <c r="B113" s="63"/>
      <c r="C113" s="66" t="n">
        <f aca="false">P113</f>
        <v>158000</v>
      </c>
      <c r="D113" s="66" t="n">
        <f aca="false">AB113</f>
        <v>158000</v>
      </c>
      <c r="E113" s="67" t="n">
        <f aca="false">Project_Register!$P$7+E100</f>
        <v>47400</v>
      </c>
      <c r="F113" s="76" t="n">
        <f aca="false">E113+F100</f>
        <v>47400</v>
      </c>
      <c r="G113" s="76" t="n">
        <f aca="false">F113+G100</f>
        <v>47400</v>
      </c>
      <c r="H113" s="76" t="n">
        <f aca="false">G113+H100</f>
        <v>110600</v>
      </c>
      <c r="I113" s="76" t="n">
        <f aca="false">H113+I100</f>
        <v>110600</v>
      </c>
      <c r="J113" s="76" t="n">
        <f aca="false">I113+J100</f>
        <v>110600</v>
      </c>
      <c r="K113" s="76" t="n">
        <f aca="false">J113+K100</f>
        <v>110600</v>
      </c>
      <c r="L113" s="76" t="n">
        <f aca="false">K113+L100</f>
        <v>110600</v>
      </c>
      <c r="M113" s="76" t="n">
        <f aca="false">L113+M100</f>
        <v>110600</v>
      </c>
      <c r="N113" s="76" t="n">
        <f aca="false">M113+N100</f>
        <v>110600</v>
      </c>
      <c r="O113" s="76" t="n">
        <f aca="false">N113+O100</f>
        <v>158000</v>
      </c>
      <c r="P113" s="76" t="n">
        <f aca="false">O113+P100</f>
        <v>158000</v>
      </c>
      <c r="Q113" s="76" t="n">
        <f aca="false">P113+Q100</f>
        <v>158000</v>
      </c>
      <c r="R113" s="76" t="n">
        <f aca="false">Q113+R100</f>
        <v>158000</v>
      </c>
      <c r="S113" s="76" t="n">
        <f aca="false">R113+S100</f>
        <v>158000</v>
      </c>
      <c r="T113" s="76" t="n">
        <f aca="false">S113+T100</f>
        <v>158000</v>
      </c>
      <c r="U113" s="76" t="n">
        <f aca="false">T113+U100</f>
        <v>158000</v>
      </c>
      <c r="V113" s="76" t="n">
        <f aca="false">U113+V100</f>
        <v>158000</v>
      </c>
      <c r="W113" s="76" t="n">
        <f aca="false">V113+W100</f>
        <v>158000</v>
      </c>
      <c r="X113" s="76" t="n">
        <f aca="false">W113+X100</f>
        <v>158000</v>
      </c>
      <c r="Y113" s="76" t="n">
        <f aca="false">X113+Y100</f>
        <v>158000</v>
      </c>
      <c r="Z113" s="76" t="n">
        <f aca="false">Y113+Z100</f>
        <v>158000</v>
      </c>
      <c r="AA113" s="76" t="n">
        <f aca="false">Z113+AA100</f>
        <v>158000</v>
      </c>
      <c r="AB113" s="76" t="n">
        <f aca="false">AA113+AB100</f>
        <v>158000</v>
      </c>
    </row>
    <row r="114" customFormat="false" ht="15" hidden="false" customHeight="false" outlineLevel="0" collapsed="false">
      <c r="A114" s="27" t="s">
        <v>941</v>
      </c>
      <c r="B114" s="63"/>
      <c r="C114" s="66" t="n">
        <f aca="false">P114</f>
        <v>64000</v>
      </c>
      <c r="D114" s="66" t="n">
        <f aca="false">AB114</f>
        <v>64000</v>
      </c>
      <c r="E114" s="67" t="n">
        <f aca="false">Project_Register!$P$8+E101</f>
        <v>19200</v>
      </c>
      <c r="F114" s="76" t="n">
        <f aca="false">E114+F101</f>
        <v>44800</v>
      </c>
      <c r="G114" s="76" t="n">
        <f aca="false">F114+G101</f>
        <v>44800</v>
      </c>
      <c r="H114" s="76" t="n">
        <f aca="false">G114+H101</f>
        <v>64000</v>
      </c>
      <c r="I114" s="76" t="n">
        <f aca="false">H114+I101</f>
        <v>64000</v>
      </c>
      <c r="J114" s="76" t="n">
        <f aca="false">I114+J101</f>
        <v>64000</v>
      </c>
      <c r="K114" s="76" t="n">
        <f aca="false">J114+K101</f>
        <v>64000</v>
      </c>
      <c r="L114" s="76" t="n">
        <f aca="false">K114+L101</f>
        <v>64000</v>
      </c>
      <c r="M114" s="76" t="n">
        <f aca="false">L114+M101</f>
        <v>64000</v>
      </c>
      <c r="N114" s="76" t="n">
        <f aca="false">M114+N101</f>
        <v>64000</v>
      </c>
      <c r="O114" s="76" t="n">
        <f aca="false">N114+O101</f>
        <v>64000</v>
      </c>
      <c r="P114" s="76" t="n">
        <f aca="false">O114+P101</f>
        <v>64000</v>
      </c>
      <c r="Q114" s="76" t="n">
        <f aca="false">P114+Q101</f>
        <v>64000</v>
      </c>
      <c r="R114" s="76" t="n">
        <f aca="false">Q114+R101</f>
        <v>64000</v>
      </c>
      <c r="S114" s="76" t="n">
        <f aca="false">R114+S101</f>
        <v>64000</v>
      </c>
      <c r="T114" s="76" t="n">
        <f aca="false">S114+T101</f>
        <v>64000</v>
      </c>
      <c r="U114" s="76" t="n">
        <f aca="false">T114+U101</f>
        <v>64000</v>
      </c>
      <c r="V114" s="76" t="n">
        <f aca="false">U114+V101</f>
        <v>64000</v>
      </c>
      <c r="W114" s="76" t="n">
        <f aca="false">V114+W101</f>
        <v>64000</v>
      </c>
      <c r="X114" s="76" t="n">
        <f aca="false">W114+X101</f>
        <v>64000</v>
      </c>
      <c r="Y114" s="76" t="n">
        <f aca="false">X114+Y101</f>
        <v>64000</v>
      </c>
      <c r="Z114" s="76" t="n">
        <f aca="false">Y114+Z101</f>
        <v>64000</v>
      </c>
      <c r="AA114" s="76" t="n">
        <f aca="false">Z114+AA101</f>
        <v>64000</v>
      </c>
      <c r="AB114" s="76" t="n">
        <f aca="false">AA114+AB101</f>
        <v>64000</v>
      </c>
    </row>
    <row r="115" customFormat="false" ht="15" hidden="false" customHeight="false" outlineLevel="0" collapsed="false">
      <c r="A115" s="27" t="s">
        <v>942</v>
      </c>
      <c r="B115" s="63"/>
      <c r="C115" s="66" t="n">
        <f aca="false">P115</f>
        <v>52000</v>
      </c>
      <c r="D115" s="66" t="n">
        <f aca="false">AB115</f>
        <v>52000</v>
      </c>
      <c r="E115" s="67" t="n">
        <f aca="false">Project_Register!$P$9+E102</f>
        <v>0</v>
      </c>
      <c r="F115" s="76" t="n">
        <f aca="false">E115+F102</f>
        <v>0</v>
      </c>
      <c r="G115" s="76" t="n">
        <f aca="false">F115+G102</f>
        <v>15600</v>
      </c>
      <c r="H115" s="76" t="n">
        <f aca="false">G115+H102</f>
        <v>15600</v>
      </c>
      <c r="I115" s="76" t="n">
        <f aca="false">H115+I102</f>
        <v>36400</v>
      </c>
      <c r="J115" s="76" t="n">
        <f aca="false">I115+J102</f>
        <v>36400</v>
      </c>
      <c r="K115" s="76" t="n">
        <f aca="false">J115+K102</f>
        <v>52000</v>
      </c>
      <c r="L115" s="76" t="n">
        <f aca="false">K115+L102</f>
        <v>52000</v>
      </c>
      <c r="M115" s="76" t="n">
        <f aca="false">L115+M102</f>
        <v>52000</v>
      </c>
      <c r="N115" s="76" t="n">
        <f aca="false">M115+N102</f>
        <v>52000</v>
      </c>
      <c r="O115" s="76" t="n">
        <f aca="false">N115+O102</f>
        <v>52000</v>
      </c>
      <c r="P115" s="76" t="n">
        <f aca="false">O115+P102</f>
        <v>52000</v>
      </c>
      <c r="Q115" s="76" t="n">
        <f aca="false">P115+Q102</f>
        <v>52000</v>
      </c>
      <c r="R115" s="76" t="n">
        <f aca="false">Q115+R102</f>
        <v>52000</v>
      </c>
      <c r="S115" s="76" t="n">
        <f aca="false">R115+S102</f>
        <v>52000</v>
      </c>
      <c r="T115" s="76" t="n">
        <f aca="false">S115+T102</f>
        <v>52000</v>
      </c>
      <c r="U115" s="76" t="n">
        <f aca="false">T115+U102</f>
        <v>52000</v>
      </c>
      <c r="V115" s="76" t="n">
        <f aca="false">U115+V102</f>
        <v>52000</v>
      </c>
      <c r="W115" s="76" t="n">
        <f aca="false">V115+W102</f>
        <v>52000</v>
      </c>
      <c r="X115" s="76" t="n">
        <f aca="false">W115+X102</f>
        <v>52000</v>
      </c>
      <c r="Y115" s="76" t="n">
        <f aca="false">X115+Y102</f>
        <v>52000</v>
      </c>
      <c r="Z115" s="76" t="n">
        <f aca="false">Y115+Z102</f>
        <v>52000</v>
      </c>
      <c r="AA115" s="76" t="n">
        <f aca="false">Z115+AA102</f>
        <v>52000</v>
      </c>
      <c r="AB115" s="76" t="n">
        <f aca="false">AA115+AB102</f>
        <v>52000</v>
      </c>
    </row>
    <row r="116" customFormat="false" ht="15" hidden="false" customHeight="false" outlineLevel="0" collapsed="false">
      <c r="A116" s="27" t="s">
        <v>943</v>
      </c>
      <c r="B116" s="63"/>
      <c r="C116" s="66" t="n">
        <f aca="false">P116</f>
        <v>59840</v>
      </c>
      <c r="D116" s="66" t="n">
        <f aca="false">AB116</f>
        <v>59840</v>
      </c>
      <c r="E116" s="67" t="n">
        <f aca="false">Project_Register!$P$10+E103</f>
        <v>0</v>
      </c>
      <c r="F116" s="76" t="n">
        <f aca="false">E116+F103</f>
        <v>6460</v>
      </c>
      <c r="G116" s="76" t="n">
        <f aca="false">F116+G103</f>
        <v>14484</v>
      </c>
      <c r="H116" s="76" t="n">
        <f aca="false">G116+H103</f>
        <v>22100</v>
      </c>
      <c r="I116" s="76" t="n">
        <f aca="false">H116+I103</f>
        <v>29580</v>
      </c>
      <c r="J116" s="76" t="n">
        <f aca="false">I116+J103</f>
        <v>37468</v>
      </c>
      <c r="K116" s="76" t="n">
        <f aca="false">J116+K103</f>
        <v>44540</v>
      </c>
      <c r="L116" s="76" t="n">
        <f aca="false">K116+L103</f>
        <v>49436</v>
      </c>
      <c r="M116" s="76" t="n">
        <f aca="false">L116+M103</f>
        <v>59840</v>
      </c>
      <c r="N116" s="76" t="n">
        <f aca="false">M116+N103</f>
        <v>59840</v>
      </c>
      <c r="O116" s="76" t="n">
        <f aca="false">N116+O103</f>
        <v>59840</v>
      </c>
      <c r="P116" s="76" t="n">
        <f aca="false">O116+P103</f>
        <v>59840</v>
      </c>
      <c r="Q116" s="76" t="n">
        <f aca="false">P116+Q103</f>
        <v>59840</v>
      </c>
      <c r="R116" s="76" t="n">
        <f aca="false">Q116+R103</f>
        <v>59840</v>
      </c>
      <c r="S116" s="76" t="n">
        <f aca="false">R116+S103</f>
        <v>59840</v>
      </c>
      <c r="T116" s="76" t="n">
        <f aca="false">S116+T103</f>
        <v>59840</v>
      </c>
      <c r="U116" s="76" t="n">
        <f aca="false">T116+U103</f>
        <v>59840</v>
      </c>
      <c r="V116" s="76" t="n">
        <f aca="false">U116+V103</f>
        <v>59840</v>
      </c>
      <c r="W116" s="76" t="n">
        <f aca="false">V116+W103</f>
        <v>59840</v>
      </c>
      <c r="X116" s="76" t="n">
        <f aca="false">W116+X103</f>
        <v>59840</v>
      </c>
      <c r="Y116" s="76" t="n">
        <f aca="false">X116+Y103</f>
        <v>59840</v>
      </c>
      <c r="Z116" s="76" t="n">
        <f aca="false">Y116+Z103</f>
        <v>59840</v>
      </c>
      <c r="AA116" s="76" t="n">
        <f aca="false">Z116+AA103</f>
        <v>59840</v>
      </c>
      <c r="AB116" s="76" t="n">
        <f aca="false">AA116+AB103</f>
        <v>59840</v>
      </c>
    </row>
    <row r="117" customFormat="false" ht="15" hidden="false" customHeight="false" outlineLevel="0" collapsed="false">
      <c r="A117" s="27" t="s">
        <v>944</v>
      </c>
      <c r="B117" s="63"/>
      <c r="C117" s="66" t="n">
        <f aca="false">P117</f>
        <v>100800</v>
      </c>
      <c r="D117" s="66" t="n">
        <f aca="false">AB117</f>
        <v>100800</v>
      </c>
      <c r="E117" s="67" t="n">
        <f aca="false">Project_Register!$P$11+E104</f>
        <v>7920</v>
      </c>
      <c r="F117" s="76" t="n">
        <f aca="false">E117+F104</f>
        <v>16320</v>
      </c>
      <c r="G117" s="76" t="n">
        <f aca="false">F117+G104</f>
        <v>25080</v>
      </c>
      <c r="H117" s="76" t="n">
        <f aca="false">G117+H104</f>
        <v>33360</v>
      </c>
      <c r="I117" s="76" t="n">
        <f aca="false">H117+I104</f>
        <v>41880</v>
      </c>
      <c r="J117" s="76" t="n">
        <f aca="false">I117+J104</f>
        <v>50520</v>
      </c>
      <c r="K117" s="76" t="n">
        <f aca="false">J117+K104</f>
        <v>58680</v>
      </c>
      <c r="L117" s="76" t="n">
        <f aca="false">K117+L104</f>
        <v>64440</v>
      </c>
      <c r="M117" s="76" t="n">
        <f aca="false">L117+M104</f>
        <v>73530</v>
      </c>
      <c r="N117" s="76" t="n">
        <f aca="false">M117+N104</f>
        <v>82620</v>
      </c>
      <c r="O117" s="76" t="n">
        <f aca="false">N117+O104</f>
        <v>91710</v>
      </c>
      <c r="P117" s="76" t="n">
        <f aca="false">O117+P104</f>
        <v>100800</v>
      </c>
      <c r="Q117" s="76" t="n">
        <f aca="false">P117+Q104</f>
        <v>100800</v>
      </c>
      <c r="R117" s="76" t="n">
        <f aca="false">Q117+R104</f>
        <v>100800</v>
      </c>
      <c r="S117" s="76" t="n">
        <f aca="false">R117+S104</f>
        <v>100800</v>
      </c>
      <c r="T117" s="76" t="n">
        <f aca="false">S117+T104</f>
        <v>100800</v>
      </c>
      <c r="U117" s="76" t="n">
        <f aca="false">T117+U104</f>
        <v>100800</v>
      </c>
      <c r="V117" s="76" t="n">
        <f aca="false">U117+V104</f>
        <v>100800</v>
      </c>
      <c r="W117" s="76" t="n">
        <f aca="false">V117+W104</f>
        <v>100800</v>
      </c>
      <c r="X117" s="76" t="n">
        <f aca="false">W117+X104</f>
        <v>100800</v>
      </c>
      <c r="Y117" s="76" t="n">
        <f aca="false">X117+Y104</f>
        <v>100800</v>
      </c>
      <c r="Z117" s="76" t="n">
        <f aca="false">Y117+Z104</f>
        <v>100800</v>
      </c>
      <c r="AA117" s="76" t="n">
        <f aca="false">Z117+AA104</f>
        <v>100800</v>
      </c>
      <c r="AB117" s="76" t="n">
        <f aca="false">AA117+AB104</f>
        <v>100800</v>
      </c>
    </row>
    <row r="118" customFormat="false" ht="15" hidden="false" customHeight="false" outlineLevel="0" collapsed="false">
      <c r="A118" s="27" t="s">
        <v>945</v>
      </c>
      <c r="B118" s="63"/>
      <c r="C118" s="66" t="n">
        <f aca="false">P118</f>
        <v>32000</v>
      </c>
      <c r="D118" s="66" t="n">
        <f aca="false">AB118</f>
        <v>32000</v>
      </c>
      <c r="E118" s="67" t="n">
        <f aca="false">Project_Register!$P$12+E105</f>
        <v>0</v>
      </c>
      <c r="F118" s="76" t="n">
        <f aca="false">E118+F105</f>
        <v>0</v>
      </c>
      <c r="G118" s="76" t="n">
        <f aca="false">F118+G105</f>
        <v>9600</v>
      </c>
      <c r="H118" s="76" t="n">
        <f aca="false">G118+H105</f>
        <v>22400</v>
      </c>
      <c r="I118" s="76" t="n">
        <f aca="false">H118+I105</f>
        <v>32000</v>
      </c>
      <c r="J118" s="76" t="n">
        <f aca="false">I118+J105</f>
        <v>32000</v>
      </c>
      <c r="K118" s="76" t="n">
        <f aca="false">J118+K105</f>
        <v>32000</v>
      </c>
      <c r="L118" s="76" t="n">
        <f aca="false">K118+L105</f>
        <v>32000</v>
      </c>
      <c r="M118" s="76" t="n">
        <f aca="false">L118+M105</f>
        <v>32000</v>
      </c>
      <c r="N118" s="76" t="n">
        <f aca="false">M118+N105</f>
        <v>32000</v>
      </c>
      <c r="O118" s="76" t="n">
        <f aca="false">N118+O105</f>
        <v>32000</v>
      </c>
      <c r="P118" s="76" t="n">
        <f aca="false">O118+P105</f>
        <v>32000</v>
      </c>
      <c r="Q118" s="76" t="n">
        <f aca="false">P118+Q105</f>
        <v>32000</v>
      </c>
      <c r="R118" s="76" t="n">
        <f aca="false">Q118+R105</f>
        <v>32000</v>
      </c>
      <c r="S118" s="76" t="n">
        <f aca="false">R118+S105</f>
        <v>32000</v>
      </c>
      <c r="T118" s="76" t="n">
        <f aca="false">S118+T105</f>
        <v>32000</v>
      </c>
      <c r="U118" s="76" t="n">
        <f aca="false">T118+U105</f>
        <v>32000</v>
      </c>
      <c r="V118" s="76" t="n">
        <f aca="false">U118+V105</f>
        <v>32000</v>
      </c>
      <c r="W118" s="76" t="n">
        <f aca="false">V118+W105</f>
        <v>32000</v>
      </c>
      <c r="X118" s="76" t="n">
        <f aca="false">W118+X105</f>
        <v>32000</v>
      </c>
      <c r="Y118" s="76" t="n">
        <f aca="false">X118+Y105</f>
        <v>32000</v>
      </c>
      <c r="Z118" s="76" t="n">
        <f aca="false">Y118+Z105</f>
        <v>32000</v>
      </c>
      <c r="AA118" s="76" t="n">
        <f aca="false">Z118+AA105</f>
        <v>32000</v>
      </c>
      <c r="AB118" s="76" t="n">
        <f aca="false">AA118+AB105</f>
        <v>32000</v>
      </c>
    </row>
    <row r="119" customFormat="false" ht="15" hidden="false" customHeight="false" outlineLevel="0" collapsed="false">
      <c r="A119" s="27" t="s">
        <v>946</v>
      </c>
      <c r="B119" s="63"/>
      <c r="C119" s="66" t="n">
        <f aca="false">P119</f>
        <v>38000</v>
      </c>
      <c r="D119" s="66" t="n">
        <f aca="false">AB119</f>
        <v>38000</v>
      </c>
      <c r="E119" s="67" t="n">
        <f aca="false">Project_Register!$P$13+E106</f>
        <v>0</v>
      </c>
      <c r="F119" s="76" t="n">
        <f aca="false">E119+F106</f>
        <v>0</v>
      </c>
      <c r="G119" s="76" t="n">
        <f aca="false">F119+G106</f>
        <v>0</v>
      </c>
      <c r="H119" s="76" t="n">
        <f aca="false">G119+H106</f>
        <v>0</v>
      </c>
      <c r="I119" s="76" t="n">
        <f aca="false">H119+I106</f>
        <v>0</v>
      </c>
      <c r="J119" s="76" t="n">
        <f aca="false">I119+J106</f>
        <v>11400</v>
      </c>
      <c r="K119" s="76" t="n">
        <f aca="false">J119+K106</f>
        <v>11400</v>
      </c>
      <c r="L119" s="76" t="n">
        <f aca="false">K119+L106</f>
        <v>26600</v>
      </c>
      <c r="M119" s="76" t="n">
        <f aca="false">L119+M106</f>
        <v>38000</v>
      </c>
      <c r="N119" s="76" t="n">
        <f aca="false">M119+N106</f>
        <v>38000</v>
      </c>
      <c r="O119" s="76" t="n">
        <f aca="false">N119+O106</f>
        <v>38000</v>
      </c>
      <c r="P119" s="76" t="n">
        <f aca="false">O119+P106</f>
        <v>38000</v>
      </c>
      <c r="Q119" s="76" t="n">
        <f aca="false">P119+Q106</f>
        <v>38000</v>
      </c>
      <c r="R119" s="76" t="n">
        <f aca="false">Q119+R106</f>
        <v>38000</v>
      </c>
      <c r="S119" s="76" t="n">
        <f aca="false">R119+S106</f>
        <v>38000</v>
      </c>
      <c r="T119" s="76" t="n">
        <f aca="false">S119+T106</f>
        <v>38000</v>
      </c>
      <c r="U119" s="76" t="n">
        <f aca="false">T119+U106</f>
        <v>38000</v>
      </c>
      <c r="V119" s="76" t="n">
        <f aca="false">U119+V106</f>
        <v>38000</v>
      </c>
      <c r="W119" s="76" t="n">
        <f aca="false">V119+W106</f>
        <v>38000</v>
      </c>
      <c r="X119" s="76" t="n">
        <f aca="false">W119+X106</f>
        <v>38000</v>
      </c>
      <c r="Y119" s="76" t="n">
        <f aca="false">X119+Y106</f>
        <v>38000</v>
      </c>
      <c r="Z119" s="76" t="n">
        <f aca="false">Y119+Z106</f>
        <v>38000</v>
      </c>
      <c r="AA119" s="76" t="n">
        <f aca="false">Z119+AA106</f>
        <v>38000</v>
      </c>
      <c r="AB119" s="76" t="n">
        <f aca="false">AA119+AB106</f>
        <v>38000</v>
      </c>
    </row>
    <row r="120" customFormat="false" ht="15" hidden="false" customHeight="false" outlineLevel="0" collapsed="false">
      <c r="A120" s="27" t="s">
        <v>947</v>
      </c>
      <c r="B120" s="63"/>
      <c r="C120" s="66" t="n">
        <f aca="false">P120</f>
        <v>61600</v>
      </c>
      <c r="D120" s="66" t="n">
        <f aca="false">AB120</f>
        <v>88000</v>
      </c>
      <c r="E120" s="67" t="n">
        <f aca="false">Project_Register!$P$14+E107</f>
        <v>0</v>
      </c>
      <c r="F120" s="76" t="n">
        <f aca="false">E120+F107</f>
        <v>0</v>
      </c>
      <c r="G120" s="76" t="n">
        <f aca="false">F120+G107</f>
        <v>0</v>
      </c>
      <c r="H120" s="76" t="n">
        <f aca="false">G120+H107</f>
        <v>0</v>
      </c>
      <c r="I120" s="76" t="n">
        <f aca="false">H120+I107</f>
        <v>0</v>
      </c>
      <c r="J120" s="76" t="n">
        <f aca="false">I120+J107</f>
        <v>0</v>
      </c>
      <c r="K120" s="76" t="n">
        <f aca="false">J120+K107</f>
        <v>0</v>
      </c>
      <c r="L120" s="76" t="n">
        <f aca="false">K120+L107</f>
        <v>0</v>
      </c>
      <c r="M120" s="76" t="n">
        <f aca="false">L120+M107</f>
        <v>26400</v>
      </c>
      <c r="N120" s="76" t="n">
        <f aca="false">M120+N107</f>
        <v>26400</v>
      </c>
      <c r="O120" s="76" t="n">
        <f aca="false">N120+O107</f>
        <v>61600</v>
      </c>
      <c r="P120" s="76" t="n">
        <f aca="false">O120+P107</f>
        <v>61600</v>
      </c>
      <c r="Q120" s="76" t="n">
        <f aca="false">P120+Q107</f>
        <v>88000</v>
      </c>
      <c r="R120" s="76" t="n">
        <f aca="false">Q120+R107</f>
        <v>88000</v>
      </c>
      <c r="S120" s="76" t="n">
        <f aca="false">R120+S107</f>
        <v>88000</v>
      </c>
      <c r="T120" s="76" t="n">
        <f aca="false">S120+T107</f>
        <v>88000</v>
      </c>
      <c r="U120" s="76" t="n">
        <f aca="false">T120+U107</f>
        <v>88000</v>
      </c>
      <c r="V120" s="76" t="n">
        <f aca="false">U120+V107</f>
        <v>88000</v>
      </c>
      <c r="W120" s="76" t="n">
        <f aca="false">V120+W107</f>
        <v>88000</v>
      </c>
      <c r="X120" s="76" t="n">
        <f aca="false">W120+X107</f>
        <v>88000</v>
      </c>
      <c r="Y120" s="76" t="n">
        <f aca="false">X120+Y107</f>
        <v>88000</v>
      </c>
      <c r="Z120" s="76" t="n">
        <f aca="false">Y120+Z107</f>
        <v>88000</v>
      </c>
      <c r="AA120" s="76" t="n">
        <f aca="false">Z120+AA107</f>
        <v>88000</v>
      </c>
      <c r="AB120" s="76" t="n">
        <f aca="false">AA120+AB107</f>
        <v>88000</v>
      </c>
    </row>
    <row r="121" customFormat="false" ht="15" hidden="false" customHeight="false" outlineLevel="0" collapsed="false">
      <c r="A121" s="27" t="s">
        <v>948</v>
      </c>
      <c r="B121" s="63"/>
      <c r="C121" s="66" t="n">
        <f aca="false">P121</f>
        <v>61440</v>
      </c>
      <c r="D121" s="66" t="n">
        <f aca="false">AB121</f>
        <v>61440</v>
      </c>
      <c r="E121" s="67" t="n">
        <f aca="false">Project_Register!$P$15+E108</f>
        <v>4992</v>
      </c>
      <c r="F121" s="76" t="n">
        <f aca="false">E121+F108</f>
        <v>10240</v>
      </c>
      <c r="G121" s="76" t="n">
        <f aca="false">F121+G108</f>
        <v>15360</v>
      </c>
      <c r="H121" s="76" t="n">
        <f aca="false">G121+H108</f>
        <v>20416</v>
      </c>
      <c r="I121" s="76" t="n">
        <f aca="false">H121+I108</f>
        <v>25600</v>
      </c>
      <c r="J121" s="76" t="n">
        <f aca="false">I121+J108</f>
        <v>30912</v>
      </c>
      <c r="K121" s="76" t="n">
        <f aca="false">J121+K108</f>
        <v>36032</v>
      </c>
      <c r="L121" s="76" t="n">
        <f aca="false">K121+L108</f>
        <v>39744</v>
      </c>
      <c r="M121" s="76" t="n">
        <f aca="false">L121+M108</f>
        <v>45168</v>
      </c>
      <c r="N121" s="76" t="n">
        <f aca="false">M121+N108</f>
        <v>50592</v>
      </c>
      <c r="O121" s="76" t="n">
        <f aca="false">N121+O108</f>
        <v>56016</v>
      </c>
      <c r="P121" s="76" t="n">
        <f aca="false">O121+P108</f>
        <v>61440</v>
      </c>
      <c r="Q121" s="76" t="n">
        <f aca="false">P121+Q108</f>
        <v>61440</v>
      </c>
      <c r="R121" s="76" t="n">
        <f aca="false">Q121+R108</f>
        <v>61440</v>
      </c>
      <c r="S121" s="76" t="n">
        <f aca="false">R121+S108</f>
        <v>61440</v>
      </c>
      <c r="T121" s="76" t="n">
        <f aca="false">S121+T108</f>
        <v>61440</v>
      </c>
      <c r="U121" s="76" t="n">
        <f aca="false">T121+U108</f>
        <v>61440</v>
      </c>
      <c r="V121" s="76" t="n">
        <f aca="false">U121+V108</f>
        <v>61440</v>
      </c>
      <c r="W121" s="76" t="n">
        <f aca="false">V121+W108</f>
        <v>61440</v>
      </c>
      <c r="X121" s="76" t="n">
        <f aca="false">W121+X108</f>
        <v>61440</v>
      </c>
      <c r="Y121" s="76" t="n">
        <f aca="false">X121+Y108</f>
        <v>61440</v>
      </c>
      <c r="Z121" s="76" t="n">
        <f aca="false">Y121+Z108</f>
        <v>61440</v>
      </c>
      <c r="AA121" s="76" t="n">
        <f aca="false">Z121+AA108</f>
        <v>61440</v>
      </c>
      <c r="AB121" s="76" t="n">
        <f aca="false">AA121+AB108</f>
        <v>61440</v>
      </c>
    </row>
    <row r="122" customFormat="false" ht="15" hidden="false" customHeight="false" outlineLevel="0" collapsed="false">
      <c r="A122" s="27" t="s">
        <v>949</v>
      </c>
      <c r="B122" s="63"/>
      <c r="C122" s="66" t="n">
        <f aca="false">P122</f>
        <v>36000</v>
      </c>
      <c r="D122" s="66" t="n">
        <f aca="false">AB122</f>
        <v>36000</v>
      </c>
      <c r="E122" s="67" t="n">
        <f aca="false">Project_Register!$P$16+E109</f>
        <v>0</v>
      </c>
      <c r="F122" s="76" t="n">
        <f aca="false">E122+F109</f>
        <v>0</v>
      </c>
      <c r="G122" s="76" t="n">
        <f aca="false">F122+G109</f>
        <v>0</v>
      </c>
      <c r="H122" s="76" t="n">
        <f aca="false">G122+H109</f>
        <v>0</v>
      </c>
      <c r="I122" s="76" t="n">
        <f aca="false">H122+I109</f>
        <v>0</v>
      </c>
      <c r="J122" s="76" t="n">
        <f aca="false">I122+J109</f>
        <v>0</v>
      </c>
      <c r="K122" s="76" t="n">
        <f aca="false">J122+K109</f>
        <v>10800</v>
      </c>
      <c r="L122" s="76" t="n">
        <f aca="false">K122+L109</f>
        <v>25200</v>
      </c>
      <c r="M122" s="76" t="n">
        <f aca="false">L122+M109</f>
        <v>36000</v>
      </c>
      <c r="N122" s="76" t="n">
        <f aca="false">M122+N109</f>
        <v>36000</v>
      </c>
      <c r="O122" s="76" t="n">
        <f aca="false">N122+O109</f>
        <v>36000</v>
      </c>
      <c r="P122" s="76" t="n">
        <f aca="false">O122+P109</f>
        <v>36000</v>
      </c>
      <c r="Q122" s="76" t="n">
        <f aca="false">P122+Q109</f>
        <v>36000</v>
      </c>
      <c r="R122" s="76" t="n">
        <f aca="false">Q122+R109</f>
        <v>36000</v>
      </c>
      <c r="S122" s="76" t="n">
        <f aca="false">R122+S109</f>
        <v>36000</v>
      </c>
      <c r="T122" s="76" t="n">
        <f aca="false">S122+T109</f>
        <v>36000</v>
      </c>
      <c r="U122" s="76" t="n">
        <f aca="false">T122+U109</f>
        <v>36000</v>
      </c>
      <c r="V122" s="76" t="n">
        <f aca="false">U122+V109</f>
        <v>36000</v>
      </c>
      <c r="W122" s="76" t="n">
        <f aca="false">V122+W109</f>
        <v>36000</v>
      </c>
      <c r="X122" s="76" t="n">
        <f aca="false">W122+X109</f>
        <v>36000</v>
      </c>
      <c r="Y122" s="76" t="n">
        <f aca="false">X122+Y109</f>
        <v>36000</v>
      </c>
      <c r="Z122" s="76" t="n">
        <f aca="false">Y122+Z109</f>
        <v>36000</v>
      </c>
      <c r="AA122" s="76" t="n">
        <f aca="false">Z122+AA109</f>
        <v>36000</v>
      </c>
      <c r="AB122" s="76" t="n">
        <f aca="false">AA122+AB109</f>
        <v>36000</v>
      </c>
    </row>
    <row r="123" customFormat="false" ht="15" hidden="false" customHeight="false" outlineLevel="0" collapsed="false">
      <c r="A123" s="27" t="s">
        <v>950</v>
      </c>
      <c r="B123" s="63"/>
      <c r="C123" s="66" t="n">
        <f aca="false">P123</f>
        <v>72000</v>
      </c>
      <c r="D123" s="66" t="n">
        <f aca="false">AB123</f>
        <v>72000</v>
      </c>
      <c r="E123" s="67" t="n">
        <f aca="false">Project_Register!$P$17+E110</f>
        <v>21600</v>
      </c>
      <c r="F123" s="76" t="n">
        <f aca="false">E123+F110</f>
        <v>21600</v>
      </c>
      <c r="G123" s="76" t="n">
        <f aca="false">F123+G110</f>
        <v>50400</v>
      </c>
      <c r="H123" s="76" t="n">
        <f aca="false">G123+H110</f>
        <v>50400</v>
      </c>
      <c r="I123" s="76" t="n">
        <f aca="false">H123+I110</f>
        <v>50400</v>
      </c>
      <c r="J123" s="76" t="n">
        <f aca="false">I123+J110</f>
        <v>72000</v>
      </c>
      <c r="K123" s="76" t="n">
        <f aca="false">J123+K110</f>
        <v>72000</v>
      </c>
      <c r="L123" s="76" t="n">
        <f aca="false">K123+L110</f>
        <v>72000</v>
      </c>
      <c r="M123" s="76" t="n">
        <f aca="false">L123+M110</f>
        <v>72000</v>
      </c>
      <c r="N123" s="76" t="n">
        <f aca="false">M123+N110</f>
        <v>72000</v>
      </c>
      <c r="O123" s="76" t="n">
        <f aca="false">N123+O110</f>
        <v>72000</v>
      </c>
      <c r="P123" s="76" t="n">
        <f aca="false">O123+P110</f>
        <v>72000</v>
      </c>
      <c r="Q123" s="76" t="n">
        <f aca="false">P123+Q110</f>
        <v>72000</v>
      </c>
      <c r="R123" s="76" t="n">
        <f aca="false">Q123+R110</f>
        <v>72000</v>
      </c>
      <c r="S123" s="76" t="n">
        <f aca="false">R123+S110</f>
        <v>72000</v>
      </c>
      <c r="T123" s="76" t="n">
        <f aca="false">S123+T110</f>
        <v>72000</v>
      </c>
      <c r="U123" s="76" t="n">
        <f aca="false">T123+U110</f>
        <v>72000</v>
      </c>
      <c r="V123" s="76" t="n">
        <f aca="false">U123+V110</f>
        <v>72000</v>
      </c>
      <c r="W123" s="76" t="n">
        <f aca="false">V123+W110</f>
        <v>72000</v>
      </c>
      <c r="X123" s="76" t="n">
        <f aca="false">W123+X110</f>
        <v>72000</v>
      </c>
      <c r="Y123" s="76" t="n">
        <f aca="false">X123+Y110</f>
        <v>72000</v>
      </c>
      <c r="Z123" s="76" t="n">
        <f aca="false">Y123+Z110</f>
        <v>72000</v>
      </c>
      <c r="AA123" s="76" t="n">
        <f aca="false">Z123+AA110</f>
        <v>72000</v>
      </c>
      <c r="AB123" s="76" t="n">
        <f aca="false">AA123+AB110</f>
        <v>72000</v>
      </c>
    </row>
    <row r="124" customFormat="false" ht="15" hidden="false" customHeight="false" outlineLevel="0" collapsed="false">
      <c r="A124" s="27" t="s">
        <v>951</v>
      </c>
      <c r="B124" s="63"/>
      <c r="C124" s="66" t="n">
        <f aca="false">P124</f>
        <v>24000</v>
      </c>
      <c r="D124" s="66" t="n">
        <f aca="false">AB124</f>
        <v>24000</v>
      </c>
      <c r="E124" s="67" t="n">
        <f aca="false">Project_Register!$P$18+E111</f>
        <v>0</v>
      </c>
      <c r="F124" s="76" t="n">
        <f aca="false">E124+F111</f>
        <v>0</v>
      </c>
      <c r="G124" s="76" t="n">
        <f aca="false">F124+G111</f>
        <v>0</v>
      </c>
      <c r="H124" s="76" t="n">
        <f aca="false">G124+H111</f>
        <v>0</v>
      </c>
      <c r="I124" s="76" t="n">
        <f aca="false">H124+I111</f>
        <v>7200</v>
      </c>
      <c r="J124" s="76" t="n">
        <f aca="false">I124+J111</f>
        <v>16800</v>
      </c>
      <c r="K124" s="76" t="n">
        <f aca="false">J124+K111</f>
        <v>24000</v>
      </c>
      <c r="L124" s="76" t="n">
        <f aca="false">K124+L111</f>
        <v>24000</v>
      </c>
      <c r="M124" s="76" t="n">
        <f aca="false">L124+M111</f>
        <v>24000</v>
      </c>
      <c r="N124" s="76" t="n">
        <f aca="false">M124+N111</f>
        <v>24000</v>
      </c>
      <c r="O124" s="76" t="n">
        <f aca="false">N124+O111</f>
        <v>24000</v>
      </c>
      <c r="P124" s="76" t="n">
        <f aca="false">O124+P111</f>
        <v>24000</v>
      </c>
      <c r="Q124" s="76" t="n">
        <f aca="false">P124+Q111</f>
        <v>24000</v>
      </c>
      <c r="R124" s="76" t="n">
        <f aca="false">Q124+R111</f>
        <v>24000</v>
      </c>
      <c r="S124" s="76" t="n">
        <f aca="false">R124+S111</f>
        <v>24000</v>
      </c>
      <c r="T124" s="76" t="n">
        <f aca="false">S124+T111</f>
        <v>24000</v>
      </c>
      <c r="U124" s="76" t="n">
        <f aca="false">T124+U111</f>
        <v>24000</v>
      </c>
      <c r="V124" s="76" t="n">
        <f aca="false">U124+V111</f>
        <v>24000</v>
      </c>
      <c r="W124" s="76" t="n">
        <f aca="false">V124+W111</f>
        <v>24000</v>
      </c>
      <c r="X124" s="76" t="n">
        <f aca="false">W124+X111</f>
        <v>24000</v>
      </c>
      <c r="Y124" s="76" t="n">
        <f aca="false">X124+Y111</f>
        <v>24000</v>
      </c>
      <c r="Z124" s="76" t="n">
        <f aca="false">Y124+Z111</f>
        <v>24000</v>
      </c>
      <c r="AA124" s="76" t="n">
        <f aca="false">Z124+AA111</f>
        <v>24000</v>
      </c>
      <c r="AB124" s="76" t="n">
        <f aca="false">AA124+AB111</f>
        <v>24000</v>
      </c>
    </row>
    <row r="125" customFormat="false" ht="15" hidden="false" customHeight="false" outlineLevel="0" collapsed="false">
      <c r="A125" s="21" t="s">
        <v>959</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row>
    <row r="126" customFormat="false" ht="15" hidden="false" customHeight="false" outlineLevel="0" collapsed="false">
      <c r="A126" s="27" t="s">
        <v>940</v>
      </c>
      <c r="B126" s="63"/>
      <c r="C126" s="66" t="n">
        <f aca="false">P126</f>
        <v>0</v>
      </c>
      <c r="D126" s="66" t="n">
        <f aca="false">AB126</f>
        <v>0</v>
      </c>
      <c r="E126" s="76" t="n">
        <f aca="false">E113-E87</f>
        <v>20039.02</v>
      </c>
      <c r="F126" s="76" t="n">
        <f aca="false">F113-F87</f>
        <v>3468.29</v>
      </c>
      <c r="G126" s="76" t="n">
        <f aca="false">G113-G87</f>
        <v>-15800</v>
      </c>
      <c r="H126" s="76" t="n">
        <f aca="false">H113-H87</f>
        <v>23507.32</v>
      </c>
      <c r="I126" s="76" t="n">
        <f aca="false">I113-I87</f>
        <v>-2697.56</v>
      </c>
      <c r="J126" s="76" t="n">
        <f aca="false">J113-J87</f>
        <v>27762.86</v>
      </c>
      <c r="K126" s="76" t="n">
        <f aca="false">K113-K87</f>
        <v>12414.29</v>
      </c>
      <c r="L126" s="76" t="n">
        <f aca="false">L113-L87</f>
        <v>2482.86000000002</v>
      </c>
      <c r="M126" s="76" t="n">
        <f aca="false">M113-M87</f>
        <v>-14144.7619047619</v>
      </c>
      <c r="N126" s="76" t="n">
        <f aca="false">N113-N87</f>
        <v>-30772.3809523809</v>
      </c>
      <c r="O126" s="76" t="n">
        <f aca="false">O113-O87</f>
        <v>0</v>
      </c>
      <c r="P126" s="76" t="n">
        <f aca="false">P113-P87</f>
        <v>0</v>
      </c>
      <c r="Q126" s="76" t="n">
        <f aca="false">Q113-Q87</f>
        <v>0</v>
      </c>
      <c r="R126" s="76" t="n">
        <f aca="false">R113-R87</f>
        <v>0</v>
      </c>
      <c r="S126" s="76" t="n">
        <f aca="false">S113-S87</f>
        <v>0</v>
      </c>
      <c r="T126" s="76" t="n">
        <f aca="false">T113-T87</f>
        <v>0</v>
      </c>
      <c r="U126" s="76" t="n">
        <f aca="false">U113-U87</f>
        <v>0</v>
      </c>
      <c r="V126" s="76" t="n">
        <f aca="false">V113-V87</f>
        <v>0</v>
      </c>
      <c r="W126" s="76" t="n">
        <f aca="false">W113-W87</f>
        <v>0</v>
      </c>
      <c r="X126" s="76" t="n">
        <f aca="false">X113-X87</f>
        <v>0</v>
      </c>
      <c r="Y126" s="76" t="n">
        <f aca="false">Y113-Y87</f>
        <v>0</v>
      </c>
      <c r="Z126" s="76" t="n">
        <f aca="false">Z113-Z87</f>
        <v>0</v>
      </c>
      <c r="AA126" s="76" t="n">
        <f aca="false">AA113-AA87</f>
        <v>0</v>
      </c>
      <c r="AB126" s="76" t="n">
        <f aca="false">AB113-AB87</f>
        <v>0</v>
      </c>
    </row>
    <row r="127" customFormat="false" ht="15" hidden="false" customHeight="false" outlineLevel="0" collapsed="false">
      <c r="A127" s="27" t="s">
        <v>941</v>
      </c>
      <c r="B127" s="63"/>
      <c r="C127" s="66" t="n">
        <f aca="false">P127</f>
        <v>0</v>
      </c>
      <c r="D127" s="66" t="n">
        <f aca="false">AB127</f>
        <v>0</v>
      </c>
      <c r="E127" s="76" t="n">
        <f aca="false">E114-E88</f>
        <v>5251.28</v>
      </c>
      <c r="F127" s="76" t="n">
        <f aca="false">F114-F88</f>
        <v>11979.49</v>
      </c>
      <c r="G127" s="76" t="n">
        <f aca="false">G114-G88</f>
        <v>-6071.79</v>
      </c>
      <c r="H127" s="76" t="n">
        <f aca="false">H114-H88</f>
        <v>0</v>
      </c>
      <c r="I127" s="76" t="n">
        <f aca="false">I114-I88</f>
        <v>0</v>
      </c>
      <c r="J127" s="76" t="n">
        <f aca="false">J114-J88</f>
        <v>0</v>
      </c>
      <c r="K127" s="76" t="n">
        <f aca="false">K114-K88</f>
        <v>0</v>
      </c>
      <c r="L127" s="76" t="n">
        <f aca="false">L114-L88</f>
        <v>0</v>
      </c>
      <c r="M127" s="76" t="n">
        <f aca="false">M114-M88</f>
        <v>0</v>
      </c>
      <c r="N127" s="76" t="n">
        <f aca="false">N114-N88</f>
        <v>0</v>
      </c>
      <c r="O127" s="76" t="n">
        <f aca="false">O114-O88</f>
        <v>0</v>
      </c>
      <c r="P127" s="76" t="n">
        <f aca="false">P114-P88</f>
        <v>0</v>
      </c>
      <c r="Q127" s="76" t="n">
        <f aca="false">Q114-Q88</f>
        <v>0</v>
      </c>
      <c r="R127" s="76" t="n">
        <f aca="false">R114-R88</f>
        <v>0</v>
      </c>
      <c r="S127" s="76" t="n">
        <f aca="false">S114-S88</f>
        <v>0</v>
      </c>
      <c r="T127" s="76" t="n">
        <f aca="false">T114-T88</f>
        <v>0</v>
      </c>
      <c r="U127" s="76" t="n">
        <f aca="false">U114-U88</f>
        <v>0</v>
      </c>
      <c r="V127" s="76" t="n">
        <f aca="false">V114-V88</f>
        <v>0</v>
      </c>
      <c r="W127" s="76" t="n">
        <f aca="false">W114-W88</f>
        <v>0</v>
      </c>
      <c r="X127" s="76" t="n">
        <f aca="false">X114-X88</f>
        <v>0</v>
      </c>
      <c r="Y127" s="76" t="n">
        <f aca="false">Y114-Y88</f>
        <v>0</v>
      </c>
      <c r="Z127" s="76" t="n">
        <f aca="false">Z114-Z88</f>
        <v>0</v>
      </c>
      <c r="AA127" s="76" t="n">
        <f aca="false">AA114-AA88</f>
        <v>0</v>
      </c>
      <c r="AB127" s="76" t="n">
        <f aca="false">AB114-AB88</f>
        <v>0</v>
      </c>
    </row>
    <row r="128" customFormat="false" ht="15" hidden="false" customHeight="false" outlineLevel="0" collapsed="false">
      <c r="A128" s="27" t="s">
        <v>942</v>
      </c>
      <c r="B128" s="63"/>
      <c r="C128" s="66" t="n">
        <f aca="false">P128</f>
        <v>0</v>
      </c>
      <c r="D128" s="66" t="n">
        <f aca="false">AB128</f>
        <v>0</v>
      </c>
      <c r="E128" s="76" t="n">
        <f aca="false">E115-E89</f>
        <v>0</v>
      </c>
      <c r="F128" s="76" t="n">
        <f aca="false">F115-F89</f>
        <v>0</v>
      </c>
      <c r="G128" s="76" t="n">
        <f aca="false">G115-G89</f>
        <v>6662.5</v>
      </c>
      <c r="H128" s="76" t="n">
        <f aca="false">H115-H89</f>
        <v>-5525</v>
      </c>
      <c r="I128" s="76" t="n">
        <f aca="false">I115-I89</f>
        <v>3087.5</v>
      </c>
      <c r="J128" s="76" t="n">
        <f aca="false">J115-J89</f>
        <v>-8287.5</v>
      </c>
      <c r="K128" s="76" t="n">
        <f aca="false">K115-K89</f>
        <v>0</v>
      </c>
      <c r="L128" s="76" t="n">
        <f aca="false">L115-L89</f>
        <v>0</v>
      </c>
      <c r="M128" s="76" t="n">
        <f aca="false">M115-M89</f>
        <v>0</v>
      </c>
      <c r="N128" s="76" t="n">
        <f aca="false">N115-N89</f>
        <v>0</v>
      </c>
      <c r="O128" s="76" t="n">
        <f aca="false">O115-O89</f>
        <v>0</v>
      </c>
      <c r="P128" s="76" t="n">
        <f aca="false">P115-P89</f>
        <v>0</v>
      </c>
      <c r="Q128" s="76" t="n">
        <f aca="false">Q115-Q89</f>
        <v>0</v>
      </c>
      <c r="R128" s="76" t="n">
        <f aca="false">R115-R89</f>
        <v>0</v>
      </c>
      <c r="S128" s="76" t="n">
        <f aca="false">S115-S89</f>
        <v>0</v>
      </c>
      <c r="T128" s="76" t="n">
        <f aca="false">T115-T89</f>
        <v>0</v>
      </c>
      <c r="U128" s="76" t="n">
        <f aca="false">U115-U89</f>
        <v>0</v>
      </c>
      <c r="V128" s="76" t="n">
        <f aca="false">V115-V89</f>
        <v>0</v>
      </c>
      <c r="W128" s="76" t="n">
        <f aca="false">W115-W89</f>
        <v>0</v>
      </c>
      <c r="X128" s="76" t="n">
        <f aca="false">X115-X89</f>
        <v>0</v>
      </c>
      <c r="Y128" s="76" t="n">
        <f aca="false">Y115-Y89</f>
        <v>0</v>
      </c>
      <c r="Z128" s="76" t="n">
        <f aca="false">Z115-Z89</f>
        <v>0</v>
      </c>
      <c r="AA128" s="76" t="n">
        <f aca="false">AA115-AA89</f>
        <v>0</v>
      </c>
      <c r="AB128" s="76" t="n">
        <f aca="false">AB115-AB89</f>
        <v>0</v>
      </c>
    </row>
    <row r="129" customFormat="false" ht="15" hidden="false" customHeight="false" outlineLevel="0" collapsed="false">
      <c r="A129" s="27" t="s">
        <v>943</v>
      </c>
      <c r="B129" s="63"/>
      <c r="C129" s="66" t="n">
        <f aca="false">P129</f>
        <v>0</v>
      </c>
      <c r="D129" s="66" t="n">
        <f aca="false">AB129</f>
        <v>0</v>
      </c>
      <c r="E129" s="76" t="n">
        <f aca="false">E116-E90</f>
        <v>0</v>
      </c>
      <c r="F129" s="76" t="n">
        <f aca="false">F116-F90</f>
        <v>0</v>
      </c>
      <c r="G129" s="76" t="n">
        <f aca="false">G116-G90</f>
        <v>0</v>
      </c>
      <c r="H129" s="76" t="n">
        <f aca="false">H116-H90</f>
        <v>0</v>
      </c>
      <c r="I129" s="76" t="n">
        <f aca="false">I116-I90</f>
        <v>0</v>
      </c>
      <c r="J129" s="76" t="n">
        <f aca="false">J116-J90</f>
        <v>0</v>
      </c>
      <c r="K129" s="76" t="n">
        <f aca="false">K116-K90</f>
        <v>0</v>
      </c>
      <c r="L129" s="76" t="n">
        <f aca="false">L116-L90</f>
        <v>0</v>
      </c>
      <c r="M129" s="76" t="n">
        <f aca="false">M116-M90</f>
        <v>0</v>
      </c>
      <c r="N129" s="76" t="n">
        <f aca="false">N116-N90</f>
        <v>0</v>
      </c>
      <c r="O129" s="76" t="n">
        <f aca="false">O116-O90</f>
        <v>0</v>
      </c>
      <c r="P129" s="76" t="n">
        <f aca="false">P116-P90</f>
        <v>0</v>
      </c>
      <c r="Q129" s="76" t="n">
        <f aca="false">Q116-Q90</f>
        <v>0</v>
      </c>
      <c r="R129" s="76" t="n">
        <f aca="false">R116-R90</f>
        <v>0</v>
      </c>
      <c r="S129" s="76" t="n">
        <f aca="false">S116-S90</f>
        <v>0</v>
      </c>
      <c r="T129" s="76" t="n">
        <f aca="false">T116-T90</f>
        <v>0</v>
      </c>
      <c r="U129" s="76" t="n">
        <f aca="false">U116-U90</f>
        <v>0</v>
      </c>
      <c r="V129" s="76" t="n">
        <f aca="false">V116-V90</f>
        <v>0</v>
      </c>
      <c r="W129" s="76" t="n">
        <f aca="false">W116-W90</f>
        <v>0</v>
      </c>
      <c r="X129" s="76" t="n">
        <f aca="false">X116-X90</f>
        <v>0</v>
      </c>
      <c r="Y129" s="76" t="n">
        <f aca="false">Y116-Y90</f>
        <v>0</v>
      </c>
      <c r="Z129" s="76" t="n">
        <f aca="false">Z116-Z90</f>
        <v>0</v>
      </c>
      <c r="AA129" s="76" t="n">
        <f aca="false">AA116-AA90</f>
        <v>0</v>
      </c>
      <c r="AB129" s="76" t="n">
        <f aca="false">AB116-AB90</f>
        <v>0</v>
      </c>
    </row>
    <row r="130" customFormat="false" ht="15" hidden="false" customHeight="false" outlineLevel="0" collapsed="false">
      <c r="A130" s="27" t="s">
        <v>944</v>
      </c>
      <c r="B130" s="63"/>
      <c r="C130" s="66" t="n">
        <f aca="false">P130</f>
        <v>0</v>
      </c>
      <c r="D130" s="66" t="n">
        <f aca="false">AB130</f>
        <v>0</v>
      </c>
      <c r="E130" s="76" t="n">
        <f aca="false">E117-E91</f>
        <v>0</v>
      </c>
      <c r="F130" s="76" t="n">
        <f aca="false">F117-F91</f>
        <v>0</v>
      </c>
      <c r="G130" s="76" t="n">
        <f aca="false">G117-G91</f>
        <v>0</v>
      </c>
      <c r="H130" s="76" t="n">
        <f aca="false">H117-H91</f>
        <v>0</v>
      </c>
      <c r="I130" s="76" t="n">
        <f aca="false">I117-I91</f>
        <v>0</v>
      </c>
      <c r="J130" s="76" t="n">
        <f aca="false">J117-J91</f>
        <v>0</v>
      </c>
      <c r="K130" s="76" t="n">
        <f aca="false">K117-K91</f>
        <v>0</v>
      </c>
      <c r="L130" s="76" t="n">
        <f aca="false">L117-L91</f>
        <v>0</v>
      </c>
      <c r="M130" s="76" t="n">
        <f aca="false">M117-M91</f>
        <v>0</v>
      </c>
      <c r="N130" s="76" t="n">
        <f aca="false">N117-N91</f>
        <v>0</v>
      </c>
      <c r="O130" s="76" t="n">
        <f aca="false">O117-O91</f>
        <v>0</v>
      </c>
      <c r="P130" s="76" t="n">
        <f aca="false">P117-P91</f>
        <v>0</v>
      </c>
      <c r="Q130" s="76" t="n">
        <f aca="false">Q117-Q91</f>
        <v>0</v>
      </c>
      <c r="R130" s="76" t="n">
        <f aca="false">R117-R91</f>
        <v>0</v>
      </c>
      <c r="S130" s="76" t="n">
        <f aca="false">S117-S91</f>
        <v>0</v>
      </c>
      <c r="T130" s="76" t="n">
        <f aca="false">T117-T91</f>
        <v>0</v>
      </c>
      <c r="U130" s="76" t="n">
        <f aca="false">U117-U91</f>
        <v>0</v>
      </c>
      <c r="V130" s="76" t="n">
        <f aca="false">V117-V91</f>
        <v>0</v>
      </c>
      <c r="W130" s="76" t="n">
        <f aca="false">W117-W91</f>
        <v>0</v>
      </c>
      <c r="X130" s="76" t="n">
        <f aca="false">X117-X91</f>
        <v>0</v>
      </c>
      <c r="Y130" s="76" t="n">
        <f aca="false">Y117-Y91</f>
        <v>0</v>
      </c>
      <c r="Z130" s="76" t="n">
        <f aca="false">Z117-Z91</f>
        <v>0</v>
      </c>
      <c r="AA130" s="76" t="n">
        <f aca="false">AA117-AA91</f>
        <v>0</v>
      </c>
      <c r="AB130" s="76" t="n">
        <f aca="false">AB117-AB91</f>
        <v>0</v>
      </c>
    </row>
    <row r="131" customFormat="false" ht="15" hidden="false" customHeight="false" outlineLevel="0" collapsed="false">
      <c r="A131" s="27" t="s">
        <v>945</v>
      </c>
      <c r="B131" s="63"/>
      <c r="C131" s="66" t="n">
        <f aca="false">P131</f>
        <v>0</v>
      </c>
      <c r="D131" s="66" t="n">
        <f aca="false">AB131</f>
        <v>0</v>
      </c>
      <c r="E131" s="76" t="n">
        <f aca="false">E118-E92</f>
        <v>0</v>
      </c>
      <c r="F131" s="76" t="n">
        <f aca="false">F118-F92</f>
        <v>0</v>
      </c>
      <c r="G131" s="76" t="n">
        <f aca="false">G118-G92</f>
        <v>0</v>
      </c>
      <c r="H131" s="76" t="n">
        <f aca="false">H118-H92</f>
        <v>0</v>
      </c>
      <c r="I131" s="76" t="n">
        <f aca="false">I118-I92</f>
        <v>0</v>
      </c>
      <c r="J131" s="76" t="n">
        <f aca="false">J118-J92</f>
        <v>0</v>
      </c>
      <c r="K131" s="76" t="n">
        <f aca="false">K118-K92</f>
        <v>0</v>
      </c>
      <c r="L131" s="76" t="n">
        <f aca="false">L118-L92</f>
        <v>0</v>
      </c>
      <c r="M131" s="76" t="n">
        <f aca="false">M118-M92</f>
        <v>0</v>
      </c>
      <c r="N131" s="76" t="n">
        <f aca="false">N118-N92</f>
        <v>0</v>
      </c>
      <c r="O131" s="76" t="n">
        <f aca="false">O118-O92</f>
        <v>0</v>
      </c>
      <c r="P131" s="76" t="n">
        <f aca="false">P118-P92</f>
        <v>0</v>
      </c>
      <c r="Q131" s="76" t="n">
        <f aca="false">Q118-Q92</f>
        <v>0</v>
      </c>
      <c r="R131" s="76" t="n">
        <f aca="false">R118-R92</f>
        <v>0</v>
      </c>
      <c r="S131" s="76" t="n">
        <f aca="false">S118-S92</f>
        <v>0</v>
      </c>
      <c r="T131" s="76" t="n">
        <f aca="false">T118-T92</f>
        <v>0</v>
      </c>
      <c r="U131" s="76" t="n">
        <f aca="false">U118-U92</f>
        <v>0</v>
      </c>
      <c r="V131" s="76" t="n">
        <f aca="false">V118-V92</f>
        <v>0</v>
      </c>
      <c r="W131" s="76" t="n">
        <f aca="false">W118-W92</f>
        <v>0</v>
      </c>
      <c r="X131" s="76" t="n">
        <f aca="false">X118-X92</f>
        <v>0</v>
      </c>
      <c r="Y131" s="76" t="n">
        <f aca="false">Y118-Y92</f>
        <v>0</v>
      </c>
      <c r="Z131" s="76" t="n">
        <f aca="false">Z118-Z92</f>
        <v>0</v>
      </c>
      <c r="AA131" s="76" t="n">
        <f aca="false">AA118-AA92</f>
        <v>0</v>
      </c>
      <c r="AB131" s="76" t="n">
        <f aca="false">AB118-AB92</f>
        <v>0</v>
      </c>
    </row>
    <row r="132" customFormat="false" ht="15" hidden="false" customHeight="false" outlineLevel="0" collapsed="false">
      <c r="A132" s="27" t="s">
        <v>946</v>
      </c>
      <c r="B132" s="63"/>
      <c r="C132" s="66" t="n">
        <f aca="false">P132</f>
        <v>0</v>
      </c>
      <c r="D132" s="66" t="n">
        <f aca="false">AB132</f>
        <v>0</v>
      </c>
      <c r="E132" s="76" t="n">
        <f aca="false">E119-E93</f>
        <v>0</v>
      </c>
      <c r="F132" s="76" t="n">
        <f aca="false">F119-F93</f>
        <v>0</v>
      </c>
      <c r="G132" s="76" t="n">
        <f aca="false">G119-G93</f>
        <v>0</v>
      </c>
      <c r="H132" s="76" t="n">
        <f aca="false">H119-H93</f>
        <v>0</v>
      </c>
      <c r="I132" s="76" t="n">
        <f aca="false">I119-I93</f>
        <v>0</v>
      </c>
      <c r="J132" s="76" t="n">
        <f aca="false">J119-J93</f>
        <v>3719.15</v>
      </c>
      <c r="K132" s="76" t="n">
        <f aca="false">K119-K93</f>
        <v>-6791.49</v>
      </c>
      <c r="L132" s="76" t="n">
        <f aca="false">L119-L93</f>
        <v>1536.17</v>
      </c>
      <c r="M132" s="76" t="n">
        <f aca="false">M119-M93</f>
        <v>0</v>
      </c>
      <c r="N132" s="76" t="n">
        <f aca="false">N119-N93</f>
        <v>0</v>
      </c>
      <c r="O132" s="76" t="n">
        <f aca="false">O119-O93</f>
        <v>0</v>
      </c>
      <c r="P132" s="76" t="n">
        <f aca="false">P119-P93</f>
        <v>0</v>
      </c>
      <c r="Q132" s="76" t="n">
        <f aca="false">Q119-Q93</f>
        <v>0</v>
      </c>
      <c r="R132" s="76" t="n">
        <f aca="false">R119-R93</f>
        <v>0</v>
      </c>
      <c r="S132" s="76" t="n">
        <f aca="false">S119-S93</f>
        <v>0</v>
      </c>
      <c r="T132" s="76" t="n">
        <f aca="false">T119-T93</f>
        <v>0</v>
      </c>
      <c r="U132" s="76" t="n">
        <f aca="false">U119-U93</f>
        <v>0</v>
      </c>
      <c r="V132" s="76" t="n">
        <f aca="false">V119-V93</f>
        <v>0</v>
      </c>
      <c r="W132" s="76" t="n">
        <f aca="false">W119-W93</f>
        <v>0</v>
      </c>
      <c r="X132" s="76" t="n">
        <f aca="false">X119-X93</f>
        <v>0</v>
      </c>
      <c r="Y132" s="76" t="n">
        <f aca="false">Y119-Y93</f>
        <v>0</v>
      </c>
      <c r="Z132" s="76" t="n">
        <f aca="false">Z119-Z93</f>
        <v>0</v>
      </c>
      <c r="AA132" s="76" t="n">
        <f aca="false">AA119-AA93</f>
        <v>0</v>
      </c>
      <c r="AB132" s="76" t="n">
        <f aca="false">AB119-AB93</f>
        <v>0</v>
      </c>
    </row>
    <row r="133" customFormat="false" ht="15" hidden="false" customHeight="false" outlineLevel="0" collapsed="false">
      <c r="A133" s="27" t="s">
        <v>947</v>
      </c>
      <c r="B133" s="63"/>
      <c r="C133" s="66" t="n">
        <f aca="false">P133</f>
        <v>-8800.00000000001</v>
      </c>
      <c r="D133" s="66" t="n">
        <f aca="false">AB133</f>
        <v>0</v>
      </c>
      <c r="E133" s="76" t="n">
        <f aca="false">E120-E94</f>
        <v>0</v>
      </c>
      <c r="F133" s="76" t="n">
        <f aca="false">F120-F94</f>
        <v>0</v>
      </c>
      <c r="G133" s="76" t="n">
        <f aca="false">G120-G94</f>
        <v>0</v>
      </c>
      <c r="H133" s="76" t="n">
        <f aca="false">H120-H94</f>
        <v>0</v>
      </c>
      <c r="I133" s="76" t="n">
        <f aca="false">I120-I94</f>
        <v>0</v>
      </c>
      <c r="J133" s="76" t="n">
        <f aca="false">J120-J94</f>
        <v>0</v>
      </c>
      <c r="K133" s="76" t="n">
        <f aca="false">K120-K94</f>
        <v>0</v>
      </c>
      <c r="L133" s="76" t="n">
        <f aca="false">L120-L94</f>
        <v>0</v>
      </c>
      <c r="M133" s="76" t="n">
        <f aca="false">M120-M94</f>
        <v>8800</v>
      </c>
      <c r="N133" s="76" t="n">
        <f aca="false">N120-N94</f>
        <v>-8800</v>
      </c>
      <c r="O133" s="76" t="n">
        <f aca="false">O120-O94</f>
        <v>8799.99999999999</v>
      </c>
      <c r="P133" s="76" t="n">
        <f aca="false">P120-P94</f>
        <v>-8800.00000000001</v>
      </c>
      <c r="Q133" s="76" t="n">
        <f aca="false">Q120-Q94</f>
        <v>0</v>
      </c>
      <c r="R133" s="76" t="n">
        <f aca="false">R120-R94</f>
        <v>0</v>
      </c>
      <c r="S133" s="76" t="n">
        <f aca="false">S120-S94</f>
        <v>0</v>
      </c>
      <c r="T133" s="76" t="n">
        <f aca="false">T120-T94</f>
        <v>0</v>
      </c>
      <c r="U133" s="76" t="n">
        <f aca="false">U120-U94</f>
        <v>0</v>
      </c>
      <c r="V133" s="76" t="n">
        <f aca="false">V120-V94</f>
        <v>0</v>
      </c>
      <c r="W133" s="76" t="n">
        <f aca="false">W120-W94</f>
        <v>0</v>
      </c>
      <c r="X133" s="76" t="n">
        <f aca="false">X120-X94</f>
        <v>0</v>
      </c>
      <c r="Y133" s="76" t="n">
        <f aca="false">Y120-Y94</f>
        <v>0</v>
      </c>
      <c r="Z133" s="76" t="n">
        <f aca="false">Z120-Z94</f>
        <v>0</v>
      </c>
      <c r="AA133" s="76" t="n">
        <f aca="false">AA120-AA94</f>
        <v>0</v>
      </c>
      <c r="AB133" s="76" t="n">
        <f aca="false">AB120-AB94</f>
        <v>0</v>
      </c>
    </row>
    <row r="134" customFormat="false" ht="15" hidden="false" customHeight="false" outlineLevel="0" collapsed="false">
      <c r="A134" s="27" t="s">
        <v>948</v>
      </c>
      <c r="B134" s="63"/>
      <c r="C134" s="66" t="n">
        <f aca="false">P134</f>
        <v>0</v>
      </c>
      <c r="D134" s="66" t="n">
        <f aca="false">AB134</f>
        <v>0</v>
      </c>
      <c r="E134" s="76" t="n">
        <f aca="false">E121-E95</f>
        <v>0</v>
      </c>
      <c r="F134" s="76" t="n">
        <f aca="false">F121-F95</f>
        <v>0</v>
      </c>
      <c r="G134" s="76" t="n">
        <f aca="false">G121-G95</f>
        <v>0</v>
      </c>
      <c r="H134" s="76" t="n">
        <f aca="false">H121-H95</f>
        <v>0</v>
      </c>
      <c r="I134" s="76" t="n">
        <f aca="false">I121-I95</f>
        <v>0</v>
      </c>
      <c r="J134" s="76" t="n">
        <f aca="false">J121-J95</f>
        <v>0</v>
      </c>
      <c r="K134" s="76" t="n">
        <f aca="false">K121-K95</f>
        <v>0</v>
      </c>
      <c r="L134" s="76" t="n">
        <f aca="false">L121-L95</f>
        <v>0</v>
      </c>
      <c r="M134" s="76" t="n">
        <f aca="false">M121-M95</f>
        <v>0</v>
      </c>
      <c r="N134" s="76" t="n">
        <f aca="false">N121-N95</f>
        <v>0</v>
      </c>
      <c r="O134" s="76" t="n">
        <f aca="false">O121-O95</f>
        <v>0</v>
      </c>
      <c r="P134" s="76" t="n">
        <f aca="false">P121-P95</f>
        <v>0</v>
      </c>
      <c r="Q134" s="76" t="n">
        <f aca="false">Q121-Q95</f>
        <v>0</v>
      </c>
      <c r="R134" s="76" t="n">
        <f aca="false">R121-R95</f>
        <v>0</v>
      </c>
      <c r="S134" s="76" t="n">
        <f aca="false">S121-S95</f>
        <v>0</v>
      </c>
      <c r="T134" s="76" t="n">
        <f aca="false">T121-T95</f>
        <v>0</v>
      </c>
      <c r="U134" s="76" t="n">
        <f aca="false">U121-U95</f>
        <v>0</v>
      </c>
      <c r="V134" s="76" t="n">
        <f aca="false">V121-V95</f>
        <v>0</v>
      </c>
      <c r="W134" s="76" t="n">
        <f aca="false">W121-W95</f>
        <v>0</v>
      </c>
      <c r="X134" s="76" t="n">
        <f aca="false">X121-X95</f>
        <v>0</v>
      </c>
      <c r="Y134" s="76" t="n">
        <f aca="false">Y121-Y95</f>
        <v>0</v>
      </c>
      <c r="Z134" s="76" t="n">
        <f aca="false">Z121-Z95</f>
        <v>0</v>
      </c>
      <c r="AA134" s="76" t="n">
        <f aca="false">AA121-AA95</f>
        <v>0</v>
      </c>
      <c r="AB134" s="76" t="n">
        <f aca="false">AB121-AB95</f>
        <v>0</v>
      </c>
    </row>
    <row r="135" customFormat="false" ht="15" hidden="false" customHeight="false" outlineLevel="0" collapsed="false">
      <c r="A135" s="27" t="s">
        <v>949</v>
      </c>
      <c r="B135" s="63"/>
      <c r="C135" s="66" t="n">
        <f aca="false">P135</f>
        <v>0</v>
      </c>
      <c r="D135" s="66" t="n">
        <f aca="false">AB135</f>
        <v>0</v>
      </c>
      <c r="E135" s="76" t="n">
        <f aca="false">E122-E96</f>
        <v>0</v>
      </c>
      <c r="F135" s="76" t="n">
        <f aca="false">F122-F96</f>
        <v>0</v>
      </c>
      <c r="G135" s="76" t="n">
        <f aca="false">G122-G96</f>
        <v>0</v>
      </c>
      <c r="H135" s="76" t="n">
        <f aca="false">H122-H96</f>
        <v>0</v>
      </c>
      <c r="I135" s="76" t="n">
        <f aca="false">I122-I96</f>
        <v>0</v>
      </c>
      <c r="J135" s="76" t="n">
        <f aca="false">J122-J96</f>
        <v>0</v>
      </c>
      <c r="K135" s="76" t="n">
        <f aca="false">K122-K96</f>
        <v>400</v>
      </c>
      <c r="L135" s="76" t="n">
        <f aca="false">L122-L96</f>
        <v>7200</v>
      </c>
      <c r="M135" s="76" t="n">
        <f aca="false">M122-M96</f>
        <v>0</v>
      </c>
      <c r="N135" s="76" t="n">
        <f aca="false">N122-N96</f>
        <v>0</v>
      </c>
      <c r="O135" s="76" t="n">
        <f aca="false">O122-O96</f>
        <v>0</v>
      </c>
      <c r="P135" s="76" t="n">
        <f aca="false">P122-P96</f>
        <v>0</v>
      </c>
      <c r="Q135" s="76" t="n">
        <f aca="false">Q122-Q96</f>
        <v>0</v>
      </c>
      <c r="R135" s="76" t="n">
        <f aca="false">R122-R96</f>
        <v>0</v>
      </c>
      <c r="S135" s="76" t="n">
        <f aca="false">S122-S96</f>
        <v>0</v>
      </c>
      <c r="T135" s="76" t="n">
        <f aca="false">T122-T96</f>
        <v>0</v>
      </c>
      <c r="U135" s="76" t="n">
        <f aca="false">U122-U96</f>
        <v>0</v>
      </c>
      <c r="V135" s="76" t="n">
        <f aca="false">V122-V96</f>
        <v>0</v>
      </c>
      <c r="W135" s="76" t="n">
        <f aca="false">W122-W96</f>
        <v>0</v>
      </c>
      <c r="X135" s="76" t="n">
        <f aca="false">X122-X96</f>
        <v>0</v>
      </c>
      <c r="Y135" s="76" t="n">
        <f aca="false">Y122-Y96</f>
        <v>0</v>
      </c>
      <c r="Z135" s="76" t="n">
        <f aca="false">Z122-Z96</f>
        <v>0</v>
      </c>
      <c r="AA135" s="76" t="n">
        <f aca="false">AA122-AA96</f>
        <v>0</v>
      </c>
      <c r="AB135" s="76" t="n">
        <f aca="false">AB122-AB96</f>
        <v>0</v>
      </c>
    </row>
    <row r="136" customFormat="false" ht="15" hidden="false" customHeight="false" outlineLevel="0" collapsed="false">
      <c r="A136" s="27" t="s">
        <v>950</v>
      </c>
      <c r="B136" s="63"/>
      <c r="C136" s="66" t="n">
        <f aca="false">P136</f>
        <v>0</v>
      </c>
      <c r="D136" s="66" t="n">
        <f aca="false">AB136</f>
        <v>0</v>
      </c>
      <c r="E136" s="76" t="n">
        <f aca="false">E123-E97</f>
        <v>11781.82</v>
      </c>
      <c r="F136" s="76" t="n">
        <f aca="false">F123-F97</f>
        <v>-1309.09</v>
      </c>
      <c r="G136" s="76" t="n">
        <f aca="false">G123-G97</f>
        <v>13581.82</v>
      </c>
      <c r="H136" s="76" t="n">
        <f aca="false">H123-H97</f>
        <v>490.910000000004</v>
      </c>
      <c r="I136" s="76" t="n">
        <f aca="false">I123-I97</f>
        <v>-11781.82</v>
      </c>
      <c r="J136" s="76" t="n">
        <f aca="false">J123-J97</f>
        <v>0</v>
      </c>
      <c r="K136" s="76" t="n">
        <f aca="false">K123-K97</f>
        <v>0</v>
      </c>
      <c r="L136" s="76" t="n">
        <f aca="false">L123-L97</f>
        <v>0</v>
      </c>
      <c r="M136" s="76" t="n">
        <f aca="false">M123-M97</f>
        <v>0</v>
      </c>
      <c r="N136" s="76" t="n">
        <f aca="false">N123-N97</f>
        <v>0</v>
      </c>
      <c r="O136" s="76" t="n">
        <f aca="false">O123-O97</f>
        <v>0</v>
      </c>
      <c r="P136" s="76" t="n">
        <f aca="false">P123-P97</f>
        <v>0</v>
      </c>
      <c r="Q136" s="76" t="n">
        <f aca="false">Q123-Q97</f>
        <v>0</v>
      </c>
      <c r="R136" s="76" t="n">
        <f aca="false">R123-R97</f>
        <v>0</v>
      </c>
      <c r="S136" s="76" t="n">
        <f aca="false">S123-S97</f>
        <v>0</v>
      </c>
      <c r="T136" s="76" t="n">
        <f aca="false">T123-T97</f>
        <v>0</v>
      </c>
      <c r="U136" s="76" t="n">
        <f aca="false">U123-U97</f>
        <v>0</v>
      </c>
      <c r="V136" s="76" t="n">
        <f aca="false">V123-V97</f>
        <v>0</v>
      </c>
      <c r="W136" s="76" t="n">
        <f aca="false">W123-W97</f>
        <v>0</v>
      </c>
      <c r="X136" s="76" t="n">
        <f aca="false">X123-X97</f>
        <v>0</v>
      </c>
      <c r="Y136" s="76" t="n">
        <f aca="false">Y123-Y97</f>
        <v>0</v>
      </c>
      <c r="Z136" s="76" t="n">
        <f aca="false">Z123-Z97</f>
        <v>0</v>
      </c>
      <c r="AA136" s="76" t="n">
        <f aca="false">AA123-AA97</f>
        <v>0</v>
      </c>
      <c r="AB136" s="76" t="n">
        <f aca="false">AB123-AB97</f>
        <v>0</v>
      </c>
    </row>
    <row r="137" customFormat="false" ht="15" hidden="false" customHeight="false" outlineLevel="0" collapsed="false">
      <c r="A137" s="27" t="s">
        <v>951</v>
      </c>
      <c r="B137" s="63"/>
      <c r="C137" s="66" t="n">
        <f aca="false">P137</f>
        <v>0</v>
      </c>
      <c r="D137" s="66" t="n">
        <f aca="false">AB137</f>
        <v>0</v>
      </c>
      <c r="E137" s="76" t="n">
        <f aca="false">E124-E98</f>
        <v>0</v>
      </c>
      <c r="F137" s="76" t="n">
        <f aca="false">F124-F98</f>
        <v>0</v>
      </c>
      <c r="G137" s="76" t="n">
        <f aca="false">G124-G98</f>
        <v>0</v>
      </c>
      <c r="H137" s="76" t="n">
        <f aca="false">H124-H98</f>
        <v>0</v>
      </c>
      <c r="I137" s="76" t="n">
        <f aca="false">I124-I98</f>
        <v>0</v>
      </c>
      <c r="J137" s="76" t="n">
        <f aca="false">J124-J98</f>
        <v>0</v>
      </c>
      <c r="K137" s="76" t="n">
        <f aca="false">K124-K98</f>
        <v>0</v>
      </c>
      <c r="L137" s="76" t="n">
        <f aca="false">L124-L98</f>
        <v>0</v>
      </c>
      <c r="M137" s="76" t="n">
        <f aca="false">M124-M98</f>
        <v>0</v>
      </c>
      <c r="N137" s="76" t="n">
        <f aca="false">N124-N98</f>
        <v>0</v>
      </c>
      <c r="O137" s="76" t="n">
        <f aca="false">O124-O98</f>
        <v>0</v>
      </c>
      <c r="P137" s="76" t="n">
        <f aca="false">P124-P98</f>
        <v>0</v>
      </c>
      <c r="Q137" s="76" t="n">
        <f aca="false">Q124-Q98</f>
        <v>0</v>
      </c>
      <c r="R137" s="76" t="n">
        <f aca="false">R124-R98</f>
        <v>0</v>
      </c>
      <c r="S137" s="76" t="n">
        <f aca="false">S124-S98</f>
        <v>0</v>
      </c>
      <c r="T137" s="76" t="n">
        <f aca="false">T124-T98</f>
        <v>0</v>
      </c>
      <c r="U137" s="76" t="n">
        <f aca="false">U124-U98</f>
        <v>0</v>
      </c>
      <c r="V137" s="76" t="n">
        <f aca="false">V124-V98</f>
        <v>0</v>
      </c>
      <c r="W137" s="76" t="n">
        <f aca="false">W124-W98</f>
        <v>0</v>
      </c>
      <c r="X137" s="76" t="n">
        <f aca="false">X124-X98</f>
        <v>0</v>
      </c>
      <c r="Y137" s="76" t="n">
        <f aca="false">Y124-Y98</f>
        <v>0</v>
      </c>
      <c r="Z137" s="76" t="n">
        <f aca="false">Z124-Z98</f>
        <v>0</v>
      </c>
      <c r="AA137" s="76" t="n">
        <f aca="false">AA124-AA98</f>
        <v>0</v>
      </c>
      <c r="AB137" s="76" t="n">
        <f aca="false">AB124-AB98</f>
        <v>0</v>
      </c>
    </row>
    <row r="138" customFormat="false" ht="15" hidden="false" customHeight="false" outlineLevel="0" collapsed="false">
      <c r="A138" s="21" t="s">
        <v>960</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row>
    <row r="139" customFormat="false" ht="15" hidden="false" customHeight="false" outlineLevel="0" collapsed="false">
      <c r="A139" s="27" t="s">
        <v>940</v>
      </c>
      <c r="B139" s="63"/>
      <c r="C139" s="66" t="n">
        <f aca="false">P139</f>
        <v>0</v>
      </c>
      <c r="D139" s="66" t="n">
        <f aca="false">AB139</f>
        <v>0</v>
      </c>
      <c r="E139" s="67" t="n">
        <f aca="false">IF(E$5="A",Inputs_Actuals!E150,IF(Assumptions!E$201&lt;Project_Register!$I$7,0,MAX(0,MAX(0,Project_Register!$U$7-E35)*Assumptions!$C$134+MAX(0,Project_Register!$V$7-E48)*Assumptions!$C$135-(Project_Register!$F$7-E87))))</f>
        <v>0</v>
      </c>
      <c r="F139" s="67" t="n">
        <f aca="false">IF(F$5="A",Inputs_Actuals!F150,IF(Assumptions!F$201&lt;Project_Register!$I$7,0,MAX(0,MAX(0,Project_Register!$U$7-F35)*Assumptions!$C$134+MAX(0,Project_Register!$V$7-F48)*Assumptions!$C$135-(Project_Register!$F$7-F87))))</f>
        <v>0</v>
      </c>
      <c r="G139" s="67" t="n">
        <f aca="false">IF(G$5="A",Inputs_Actuals!G150,IF(Assumptions!G$201&lt;Project_Register!$I$7,0,MAX(0,MAX(0,Project_Register!$U$7-G35)*Assumptions!$C$134+MAX(0,Project_Register!$V$7-G48)*Assumptions!$C$135-(Project_Register!$F$7-G87))))</f>
        <v>0</v>
      </c>
      <c r="H139" s="67" t="n">
        <f aca="false">IF(H$5="A",Inputs_Actuals!H150,IF(Assumptions!H$201&lt;Project_Register!$I$7,0,MAX(0,MAX(0,Project_Register!$U$7-H35)*Assumptions!$C$134+MAX(0,Project_Register!$V$7-H48)*Assumptions!$C$135-(Project_Register!$F$7-H87))))</f>
        <v>0</v>
      </c>
      <c r="I139" s="67" t="n">
        <f aca="false">IF(I$5="A",Inputs_Actuals!I150,IF(Assumptions!I$201&lt;Project_Register!$I$7,0,MAX(0,MAX(0,Project_Register!$U$7-I35)*Assumptions!$C$134+MAX(0,Project_Register!$V$7-I48)*Assumptions!$C$135-(Project_Register!$F$7-I87))))</f>
        <v>0</v>
      </c>
      <c r="J139" s="67" t="n">
        <f aca="false">IF(J$5="A",Inputs_Actuals!J150,IF(Assumptions!J$201&lt;Project_Register!$I$7,0,MAX(0,MAX(0,Project_Register!$U$7-J35)*Assumptions!$C$134+MAX(0,Project_Register!$V$7-J48)*Assumptions!$C$135-(Project_Register!$F$7-J87))))</f>
        <v>10147.14</v>
      </c>
      <c r="K139" s="67" t="n">
        <f aca="false">IF(K$5="A",Inputs_Actuals!K150,IF(Assumptions!K$201&lt;Project_Register!$I$7,0,MAX(0,MAX(0,Project_Register!$U$7-K35)*Assumptions!$C$134+MAX(0,Project_Register!$V$7-K48)*Assumptions!$C$135-(Project_Register!$F$7-K87))))</f>
        <v>5415.71</v>
      </c>
      <c r="L139" s="67" t="n">
        <f aca="false">IF(L$5="A",Inputs_Actuals!L150,IF(Assumptions!L$201&lt;Project_Register!$I$7,0,MAX(0,MAX(0,Project_Register!$U$7-L35)*Assumptions!$C$134+MAX(0,Project_Register!$V$7-L48)*Assumptions!$C$135-(Project_Register!$F$7-L87))))</f>
        <v>2507.14</v>
      </c>
      <c r="M139" s="67" t="n">
        <f aca="false">IF(M$5="A",Inputs_Actuals!M150,IF(Assumptions!M$201&lt;Project_Register!$I$7,0,MAX(0,MAX(0,Project_Register!$U$7-M35)*Assumptions!$C$134+MAX(0,Project_Register!$V$7-M48)*Assumptions!$C$135-(Project_Register!$F$7-M87))))</f>
        <v>1671.42857142855</v>
      </c>
      <c r="N139" s="67" t="n">
        <f aca="false">IF(N$5="A",Inputs_Actuals!N150,IF(Assumptions!N$201&lt;Project_Register!$I$7,0,MAX(0,MAX(0,Project_Register!$U$7-N35)*Assumptions!$C$134+MAX(0,Project_Register!$V$7-N48)*Assumptions!$C$135-(Project_Register!$F$7-N87))))</f>
        <v>835.714285714294</v>
      </c>
      <c r="O139" s="67" t="n">
        <f aca="false">IF(O$5="A",Inputs_Actuals!O150,IF(Assumptions!O$201&lt;Project_Register!$I$7,0,MAX(0,MAX(0,Project_Register!$U$7-O35)*Assumptions!$C$134+MAX(0,Project_Register!$V$7-O48)*Assumptions!$C$135-(Project_Register!$F$7-O87))))</f>
        <v>0</v>
      </c>
      <c r="P139" s="67" t="n">
        <f aca="false">IF(P$5="A",Inputs_Actuals!P150,IF(Assumptions!P$201&lt;Project_Register!$I$7,0,MAX(0,MAX(0,Project_Register!$U$7-P35)*Assumptions!$C$134+MAX(0,Project_Register!$V$7-P48)*Assumptions!$C$135-(Project_Register!$F$7-P87))))</f>
        <v>0</v>
      </c>
      <c r="Q139" s="67" t="n">
        <f aca="false">IF(Q$5="A",Inputs_Actuals!Q150,IF(Assumptions!Q$201&lt;Project_Register!$I$7,0,MAX(0,MAX(0,Project_Register!$U$7-Q35)*Assumptions!$C$134+MAX(0,Project_Register!$V$7-Q48)*Assumptions!$C$135-(Project_Register!$F$7-Q87))))</f>
        <v>0</v>
      </c>
      <c r="R139" s="67" t="n">
        <f aca="false">IF(R$5="A",Inputs_Actuals!R150,IF(Assumptions!R$201&lt;Project_Register!$I$7,0,MAX(0,MAX(0,Project_Register!$U$7-R35)*Assumptions!$C$134+MAX(0,Project_Register!$V$7-R48)*Assumptions!$C$135-(Project_Register!$F$7-R87))))</f>
        <v>0</v>
      </c>
      <c r="S139" s="67" t="n">
        <f aca="false">IF(S$5="A",Inputs_Actuals!S150,IF(Assumptions!S$201&lt;Project_Register!$I$7,0,MAX(0,MAX(0,Project_Register!$U$7-S35)*Assumptions!$C$134+MAX(0,Project_Register!$V$7-S48)*Assumptions!$C$135-(Project_Register!$F$7-S87))))</f>
        <v>0</v>
      </c>
      <c r="T139" s="67" t="n">
        <f aca="false">IF(T$5="A",Inputs_Actuals!T150,IF(Assumptions!T$201&lt;Project_Register!$I$7,0,MAX(0,MAX(0,Project_Register!$U$7-T35)*Assumptions!$C$134+MAX(0,Project_Register!$V$7-T48)*Assumptions!$C$135-(Project_Register!$F$7-T87))))</f>
        <v>0</v>
      </c>
      <c r="U139" s="67" t="n">
        <f aca="false">IF(U$5="A",Inputs_Actuals!U150,IF(Assumptions!U$201&lt;Project_Register!$I$7,0,MAX(0,MAX(0,Project_Register!$U$7-U35)*Assumptions!$C$134+MAX(0,Project_Register!$V$7-U48)*Assumptions!$C$135-(Project_Register!$F$7-U87))))</f>
        <v>0</v>
      </c>
      <c r="V139" s="67" t="n">
        <f aca="false">IF(V$5="A",Inputs_Actuals!V150,IF(Assumptions!V$201&lt;Project_Register!$I$7,0,MAX(0,MAX(0,Project_Register!$U$7-V35)*Assumptions!$C$134+MAX(0,Project_Register!$V$7-V48)*Assumptions!$C$135-(Project_Register!$F$7-V87))))</f>
        <v>0</v>
      </c>
      <c r="W139" s="67" t="n">
        <f aca="false">IF(W$5="A",Inputs_Actuals!W150,IF(Assumptions!W$201&lt;Project_Register!$I$7,0,MAX(0,MAX(0,Project_Register!$U$7-W35)*Assumptions!$C$134+MAX(0,Project_Register!$V$7-W48)*Assumptions!$C$135-(Project_Register!$F$7-W87))))</f>
        <v>0</v>
      </c>
      <c r="X139" s="67" t="n">
        <f aca="false">IF(X$5="A",Inputs_Actuals!X150,IF(Assumptions!X$201&lt;Project_Register!$I$7,0,MAX(0,MAX(0,Project_Register!$U$7-X35)*Assumptions!$C$134+MAX(0,Project_Register!$V$7-X48)*Assumptions!$C$135-(Project_Register!$F$7-X87))))</f>
        <v>0</v>
      </c>
      <c r="Y139" s="67" t="n">
        <f aca="false">IF(Y$5="A",Inputs_Actuals!Y150,IF(Assumptions!Y$201&lt;Project_Register!$I$7,0,MAX(0,MAX(0,Project_Register!$U$7-Y35)*Assumptions!$C$134+MAX(0,Project_Register!$V$7-Y48)*Assumptions!$C$135-(Project_Register!$F$7-Y87))))</f>
        <v>0</v>
      </c>
      <c r="Z139" s="67" t="n">
        <f aca="false">IF(Z$5="A",Inputs_Actuals!Z150,IF(Assumptions!Z$201&lt;Project_Register!$I$7,0,MAX(0,MAX(0,Project_Register!$U$7-Z35)*Assumptions!$C$134+MAX(0,Project_Register!$V$7-Z48)*Assumptions!$C$135-(Project_Register!$F$7-Z87))))</f>
        <v>0</v>
      </c>
      <c r="AA139" s="67" t="n">
        <f aca="false">IF(AA$5="A",Inputs_Actuals!AA150,IF(Assumptions!AA$201&lt;Project_Register!$I$7,0,MAX(0,MAX(0,Project_Register!$U$7-AA35)*Assumptions!$C$134+MAX(0,Project_Register!$V$7-AA48)*Assumptions!$C$135-(Project_Register!$F$7-AA87))))</f>
        <v>0</v>
      </c>
      <c r="AB139" s="67" t="n">
        <f aca="false">IF(AB$5="A",Inputs_Actuals!AB150,IF(Assumptions!AB$201&lt;Project_Register!$I$7,0,MAX(0,MAX(0,Project_Register!$U$7-AB35)*Assumptions!$C$134+MAX(0,Project_Register!$V$7-AB48)*Assumptions!$C$135-(Project_Register!$F$7-AB87))))</f>
        <v>0</v>
      </c>
    </row>
    <row r="140" customFormat="false" ht="15" hidden="false" customHeight="false" outlineLevel="0" collapsed="false">
      <c r="A140" s="27" t="s">
        <v>941</v>
      </c>
      <c r="B140" s="63"/>
      <c r="C140" s="66" t="n">
        <f aca="false">P140</f>
        <v>0</v>
      </c>
      <c r="D140" s="66" t="n">
        <f aca="false">AB140</f>
        <v>0</v>
      </c>
      <c r="E140" s="67" t="n">
        <f aca="false">IF(E$5="A",Inputs_Actuals!E153,IF(Assumptions!E$201&lt;Project_Register!$I$8,0,MAX(0,MAX(0,Project_Register!$U$8-E36)*Assumptions!$C$134+MAX(0,Project_Register!$V$8-E49)*Assumptions!$C$135-(Project_Register!$F$8-E88))))</f>
        <v>0</v>
      </c>
      <c r="F140" s="67" t="n">
        <f aca="false">IF(F$5="A",Inputs_Actuals!F153,IF(Assumptions!F$201&lt;Project_Register!$I$8,0,MAX(0,MAX(0,Project_Register!$U$8-F36)*Assumptions!$C$134+MAX(0,Project_Register!$V$8-F49)*Assumptions!$C$135-(Project_Register!$F$8-F88))))</f>
        <v>0</v>
      </c>
      <c r="G140" s="67" t="n">
        <f aca="false">IF(G$5="A",Inputs_Actuals!G153,IF(Assumptions!G$201&lt;Project_Register!$I$8,0,MAX(0,MAX(0,Project_Register!$U$8-G36)*Assumptions!$C$134+MAX(0,Project_Register!$V$8-G49)*Assumptions!$C$135-(Project_Register!$F$8-G88))))</f>
        <v>0</v>
      </c>
      <c r="H140" s="67" t="n">
        <f aca="false">IF(H$5="A",Inputs_Actuals!H153,IF(Assumptions!H$201&lt;Project_Register!$I$8,0,MAX(0,MAX(0,Project_Register!$U$8-H36)*Assumptions!$C$134+MAX(0,Project_Register!$V$8-H49)*Assumptions!$C$135-(Project_Register!$F$8-H88))))</f>
        <v>0</v>
      </c>
      <c r="I140" s="67" t="n">
        <f aca="false">IF(I$5="A",Inputs_Actuals!I153,IF(Assumptions!I$201&lt;Project_Register!$I$8,0,MAX(0,MAX(0,Project_Register!$U$8-I36)*Assumptions!$C$134+MAX(0,Project_Register!$V$8-I49)*Assumptions!$C$135-(Project_Register!$F$8-I88))))</f>
        <v>0</v>
      </c>
      <c r="J140" s="67" t="n">
        <f aca="false">IF(J$5="A",Inputs_Actuals!J153,IF(Assumptions!J$201&lt;Project_Register!$I$8,0,MAX(0,MAX(0,Project_Register!$U$8-J36)*Assumptions!$C$134+MAX(0,Project_Register!$V$8-J49)*Assumptions!$C$135-(Project_Register!$F$8-J88))))</f>
        <v>0</v>
      </c>
      <c r="K140" s="67" t="n">
        <f aca="false">IF(K$5="A",Inputs_Actuals!K153,IF(Assumptions!K$201&lt;Project_Register!$I$8,0,MAX(0,MAX(0,Project_Register!$U$8-K36)*Assumptions!$C$134+MAX(0,Project_Register!$V$8-K49)*Assumptions!$C$135-(Project_Register!$F$8-K88))))</f>
        <v>0</v>
      </c>
      <c r="L140" s="67" t="n">
        <f aca="false">IF(L$5="A",Inputs_Actuals!L153,IF(Assumptions!L$201&lt;Project_Register!$I$8,0,MAX(0,MAX(0,Project_Register!$U$8-L36)*Assumptions!$C$134+MAX(0,Project_Register!$V$8-L49)*Assumptions!$C$135-(Project_Register!$F$8-L88))))</f>
        <v>0</v>
      </c>
      <c r="M140" s="67" t="n">
        <f aca="false">IF(M$5="A",Inputs_Actuals!M153,IF(Assumptions!M$201&lt;Project_Register!$I$8,0,MAX(0,MAX(0,Project_Register!$U$8-M36)*Assumptions!$C$134+MAX(0,Project_Register!$V$8-M49)*Assumptions!$C$135-(Project_Register!$F$8-M88))))</f>
        <v>0</v>
      </c>
      <c r="N140" s="67" t="n">
        <f aca="false">IF(N$5="A",Inputs_Actuals!N153,IF(Assumptions!N$201&lt;Project_Register!$I$8,0,MAX(0,MAX(0,Project_Register!$U$8-N36)*Assumptions!$C$134+MAX(0,Project_Register!$V$8-N49)*Assumptions!$C$135-(Project_Register!$F$8-N88))))</f>
        <v>0</v>
      </c>
      <c r="O140" s="67" t="n">
        <f aca="false">IF(O$5="A",Inputs_Actuals!O153,IF(Assumptions!O$201&lt;Project_Register!$I$8,0,MAX(0,MAX(0,Project_Register!$U$8-O36)*Assumptions!$C$134+MAX(0,Project_Register!$V$8-O49)*Assumptions!$C$135-(Project_Register!$F$8-O88))))</f>
        <v>0</v>
      </c>
      <c r="P140" s="67" t="n">
        <f aca="false">IF(P$5="A",Inputs_Actuals!P153,IF(Assumptions!P$201&lt;Project_Register!$I$8,0,MAX(0,MAX(0,Project_Register!$U$8-P36)*Assumptions!$C$134+MAX(0,Project_Register!$V$8-P49)*Assumptions!$C$135-(Project_Register!$F$8-P88))))</f>
        <v>0</v>
      </c>
      <c r="Q140" s="67" t="n">
        <f aca="false">IF(Q$5="A",Inputs_Actuals!Q153,IF(Assumptions!Q$201&lt;Project_Register!$I$8,0,MAX(0,MAX(0,Project_Register!$U$8-Q36)*Assumptions!$C$134+MAX(0,Project_Register!$V$8-Q49)*Assumptions!$C$135-(Project_Register!$F$8-Q88))))</f>
        <v>0</v>
      </c>
      <c r="R140" s="67" t="n">
        <f aca="false">IF(R$5="A",Inputs_Actuals!R153,IF(Assumptions!R$201&lt;Project_Register!$I$8,0,MAX(0,MAX(0,Project_Register!$U$8-R36)*Assumptions!$C$134+MAX(0,Project_Register!$V$8-R49)*Assumptions!$C$135-(Project_Register!$F$8-R88))))</f>
        <v>0</v>
      </c>
      <c r="S140" s="67" t="n">
        <f aca="false">IF(S$5="A",Inputs_Actuals!S153,IF(Assumptions!S$201&lt;Project_Register!$I$8,0,MAX(0,MAX(0,Project_Register!$U$8-S36)*Assumptions!$C$134+MAX(0,Project_Register!$V$8-S49)*Assumptions!$C$135-(Project_Register!$F$8-S88))))</f>
        <v>0</v>
      </c>
      <c r="T140" s="67" t="n">
        <f aca="false">IF(T$5="A",Inputs_Actuals!T153,IF(Assumptions!T$201&lt;Project_Register!$I$8,0,MAX(0,MAX(0,Project_Register!$U$8-T36)*Assumptions!$C$134+MAX(0,Project_Register!$V$8-T49)*Assumptions!$C$135-(Project_Register!$F$8-T88))))</f>
        <v>0</v>
      </c>
      <c r="U140" s="67" t="n">
        <f aca="false">IF(U$5="A",Inputs_Actuals!U153,IF(Assumptions!U$201&lt;Project_Register!$I$8,0,MAX(0,MAX(0,Project_Register!$U$8-U36)*Assumptions!$C$134+MAX(0,Project_Register!$V$8-U49)*Assumptions!$C$135-(Project_Register!$F$8-U88))))</f>
        <v>0</v>
      </c>
      <c r="V140" s="67" t="n">
        <f aca="false">IF(V$5="A",Inputs_Actuals!V153,IF(Assumptions!V$201&lt;Project_Register!$I$8,0,MAX(0,MAX(0,Project_Register!$U$8-V36)*Assumptions!$C$134+MAX(0,Project_Register!$V$8-V49)*Assumptions!$C$135-(Project_Register!$F$8-V88))))</f>
        <v>0</v>
      </c>
      <c r="W140" s="67" t="n">
        <f aca="false">IF(W$5="A",Inputs_Actuals!W153,IF(Assumptions!W$201&lt;Project_Register!$I$8,0,MAX(0,MAX(0,Project_Register!$U$8-W36)*Assumptions!$C$134+MAX(0,Project_Register!$V$8-W49)*Assumptions!$C$135-(Project_Register!$F$8-W88))))</f>
        <v>0</v>
      </c>
      <c r="X140" s="67" t="n">
        <f aca="false">IF(X$5="A",Inputs_Actuals!X153,IF(Assumptions!X$201&lt;Project_Register!$I$8,0,MAX(0,MAX(0,Project_Register!$U$8-X36)*Assumptions!$C$134+MAX(0,Project_Register!$V$8-X49)*Assumptions!$C$135-(Project_Register!$F$8-X88))))</f>
        <v>0</v>
      </c>
      <c r="Y140" s="67" t="n">
        <f aca="false">IF(Y$5="A",Inputs_Actuals!Y153,IF(Assumptions!Y$201&lt;Project_Register!$I$8,0,MAX(0,MAX(0,Project_Register!$U$8-Y36)*Assumptions!$C$134+MAX(0,Project_Register!$V$8-Y49)*Assumptions!$C$135-(Project_Register!$F$8-Y88))))</f>
        <v>0</v>
      </c>
      <c r="Z140" s="67" t="n">
        <f aca="false">IF(Z$5="A",Inputs_Actuals!Z153,IF(Assumptions!Z$201&lt;Project_Register!$I$8,0,MAX(0,MAX(0,Project_Register!$U$8-Z36)*Assumptions!$C$134+MAX(0,Project_Register!$V$8-Z49)*Assumptions!$C$135-(Project_Register!$F$8-Z88))))</f>
        <v>0</v>
      </c>
      <c r="AA140" s="67" t="n">
        <f aca="false">IF(AA$5="A",Inputs_Actuals!AA153,IF(Assumptions!AA$201&lt;Project_Register!$I$8,0,MAX(0,MAX(0,Project_Register!$U$8-AA36)*Assumptions!$C$134+MAX(0,Project_Register!$V$8-AA49)*Assumptions!$C$135-(Project_Register!$F$8-AA88))))</f>
        <v>0</v>
      </c>
      <c r="AB140" s="67" t="n">
        <f aca="false">IF(AB$5="A",Inputs_Actuals!AB153,IF(Assumptions!AB$201&lt;Project_Register!$I$8,0,MAX(0,MAX(0,Project_Register!$U$8-AB36)*Assumptions!$C$134+MAX(0,Project_Register!$V$8-AB49)*Assumptions!$C$135-(Project_Register!$F$8-AB88))))</f>
        <v>0</v>
      </c>
    </row>
    <row r="141" customFormat="false" ht="15" hidden="false" customHeight="false" outlineLevel="0" collapsed="false">
      <c r="A141" s="27" t="s">
        <v>942</v>
      </c>
      <c r="B141" s="63"/>
      <c r="C141" s="66" t="n">
        <f aca="false">P141</f>
        <v>0</v>
      </c>
      <c r="D141" s="66" t="n">
        <f aca="false">AB141</f>
        <v>0</v>
      </c>
      <c r="E141" s="67" t="n">
        <f aca="false">IF(E$5="A",Inputs_Actuals!E156,IF(Assumptions!E$201&lt;Project_Register!$I$9,0,MAX(0,MAX(0,Project_Register!$U$9-E37)*Assumptions!$C$134+MAX(0,Project_Register!$V$9-E50)*Assumptions!$C$135-(Project_Register!$F$9-E89))))</f>
        <v>0</v>
      </c>
      <c r="F141" s="67" t="n">
        <f aca="false">IF(F$5="A",Inputs_Actuals!F156,IF(Assumptions!F$201&lt;Project_Register!$I$9,0,MAX(0,MAX(0,Project_Register!$U$9-F37)*Assumptions!$C$134+MAX(0,Project_Register!$V$9-F50)*Assumptions!$C$135-(Project_Register!$F$9-F89))))</f>
        <v>0</v>
      </c>
      <c r="G141" s="67" t="n">
        <f aca="false">IF(G$5="A",Inputs_Actuals!G156,IF(Assumptions!G$201&lt;Project_Register!$I$9,0,MAX(0,MAX(0,Project_Register!$U$9-G37)*Assumptions!$C$134+MAX(0,Project_Register!$V$9-G50)*Assumptions!$C$135-(Project_Register!$F$9-G89))))</f>
        <v>0</v>
      </c>
      <c r="H141" s="67" t="n">
        <f aca="false">IF(H$5="A",Inputs_Actuals!H156,IF(Assumptions!H$201&lt;Project_Register!$I$9,0,MAX(0,MAX(0,Project_Register!$U$9-H37)*Assumptions!$C$134+MAX(0,Project_Register!$V$9-H50)*Assumptions!$C$135-(Project_Register!$F$9-H89))))</f>
        <v>0</v>
      </c>
      <c r="I141" s="67" t="n">
        <f aca="false">IF(I$5="A",Inputs_Actuals!I156,IF(Assumptions!I$201&lt;Project_Register!$I$9,0,MAX(0,MAX(0,Project_Register!$U$9-I37)*Assumptions!$C$134+MAX(0,Project_Register!$V$9-I50)*Assumptions!$C$135-(Project_Register!$F$9-I89))))</f>
        <v>0</v>
      </c>
      <c r="J141" s="67" t="n">
        <f aca="false">IF(J$5="A",Inputs_Actuals!J156,IF(Assumptions!J$201&lt;Project_Register!$I$9,0,MAX(0,MAX(0,Project_Register!$U$9-J37)*Assumptions!$C$134+MAX(0,Project_Register!$V$9-J50)*Assumptions!$C$135-(Project_Register!$F$9-J89))))</f>
        <v>0</v>
      </c>
      <c r="K141" s="67" t="n">
        <f aca="false">IF(K$5="A",Inputs_Actuals!K156,IF(Assumptions!K$201&lt;Project_Register!$I$9,0,MAX(0,MAX(0,Project_Register!$U$9-K37)*Assumptions!$C$134+MAX(0,Project_Register!$V$9-K50)*Assumptions!$C$135-(Project_Register!$F$9-K89))))</f>
        <v>0</v>
      </c>
      <c r="L141" s="67" t="n">
        <f aca="false">IF(L$5="A",Inputs_Actuals!L156,IF(Assumptions!L$201&lt;Project_Register!$I$9,0,MAX(0,MAX(0,Project_Register!$U$9-L37)*Assumptions!$C$134+MAX(0,Project_Register!$V$9-L50)*Assumptions!$C$135-(Project_Register!$F$9-L89))))</f>
        <v>0</v>
      </c>
      <c r="M141" s="67" t="n">
        <f aca="false">IF(M$5="A",Inputs_Actuals!M156,IF(Assumptions!M$201&lt;Project_Register!$I$9,0,MAX(0,MAX(0,Project_Register!$U$9-M37)*Assumptions!$C$134+MAX(0,Project_Register!$V$9-M50)*Assumptions!$C$135-(Project_Register!$F$9-M89))))</f>
        <v>0</v>
      </c>
      <c r="N141" s="67" t="n">
        <f aca="false">IF(N$5="A",Inputs_Actuals!N156,IF(Assumptions!N$201&lt;Project_Register!$I$9,0,MAX(0,MAX(0,Project_Register!$U$9-N37)*Assumptions!$C$134+MAX(0,Project_Register!$V$9-N50)*Assumptions!$C$135-(Project_Register!$F$9-N89))))</f>
        <v>0</v>
      </c>
      <c r="O141" s="67" t="n">
        <f aca="false">IF(O$5="A",Inputs_Actuals!O156,IF(Assumptions!O$201&lt;Project_Register!$I$9,0,MAX(0,MAX(0,Project_Register!$U$9-O37)*Assumptions!$C$134+MAX(0,Project_Register!$V$9-O50)*Assumptions!$C$135-(Project_Register!$F$9-O89))))</f>
        <v>0</v>
      </c>
      <c r="P141" s="67" t="n">
        <f aca="false">IF(P$5="A",Inputs_Actuals!P156,IF(Assumptions!P$201&lt;Project_Register!$I$9,0,MAX(0,MAX(0,Project_Register!$U$9-P37)*Assumptions!$C$134+MAX(0,Project_Register!$V$9-P50)*Assumptions!$C$135-(Project_Register!$F$9-P89))))</f>
        <v>0</v>
      </c>
      <c r="Q141" s="67" t="n">
        <f aca="false">IF(Q$5="A",Inputs_Actuals!Q156,IF(Assumptions!Q$201&lt;Project_Register!$I$9,0,MAX(0,MAX(0,Project_Register!$U$9-Q37)*Assumptions!$C$134+MAX(0,Project_Register!$V$9-Q50)*Assumptions!$C$135-(Project_Register!$F$9-Q89))))</f>
        <v>0</v>
      </c>
      <c r="R141" s="67" t="n">
        <f aca="false">IF(R$5="A",Inputs_Actuals!R156,IF(Assumptions!R$201&lt;Project_Register!$I$9,0,MAX(0,MAX(0,Project_Register!$U$9-R37)*Assumptions!$C$134+MAX(0,Project_Register!$V$9-R50)*Assumptions!$C$135-(Project_Register!$F$9-R89))))</f>
        <v>0</v>
      </c>
      <c r="S141" s="67" t="n">
        <f aca="false">IF(S$5="A",Inputs_Actuals!S156,IF(Assumptions!S$201&lt;Project_Register!$I$9,0,MAX(0,MAX(0,Project_Register!$U$9-S37)*Assumptions!$C$134+MAX(0,Project_Register!$V$9-S50)*Assumptions!$C$135-(Project_Register!$F$9-S89))))</f>
        <v>0</v>
      </c>
      <c r="T141" s="67" t="n">
        <f aca="false">IF(T$5="A",Inputs_Actuals!T156,IF(Assumptions!T$201&lt;Project_Register!$I$9,0,MAX(0,MAX(0,Project_Register!$U$9-T37)*Assumptions!$C$134+MAX(0,Project_Register!$V$9-T50)*Assumptions!$C$135-(Project_Register!$F$9-T89))))</f>
        <v>0</v>
      </c>
      <c r="U141" s="67" t="n">
        <f aca="false">IF(U$5="A",Inputs_Actuals!U156,IF(Assumptions!U$201&lt;Project_Register!$I$9,0,MAX(0,MAX(0,Project_Register!$U$9-U37)*Assumptions!$C$134+MAX(0,Project_Register!$V$9-U50)*Assumptions!$C$135-(Project_Register!$F$9-U89))))</f>
        <v>0</v>
      </c>
      <c r="V141" s="67" t="n">
        <f aca="false">IF(V$5="A",Inputs_Actuals!V156,IF(Assumptions!V$201&lt;Project_Register!$I$9,0,MAX(0,MAX(0,Project_Register!$U$9-V37)*Assumptions!$C$134+MAX(0,Project_Register!$V$9-V50)*Assumptions!$C$135-(Project_Register!$F$9-V89))))</f>
        <v>0</v>
      </c>
      <c r="W141" s="67" t="n">
        <f aca="false">IF(W$5="A",Inputs_Actuals!W156,IF(Assumptions!W$201&lt;Project_Register!$I$9,0,MAX(0,MAX(0,Project_Register!$U$9-W37)*Assumptions!$C$134+MAX(0,Project_Register!$V$9-W50)*Assumptions!$C$135-(Project_Register!$F$9-W89))))</f>
        <v>0</v>
      </c>
      <c r="X141" s="67" t="n">
        <f aca="false">IF(X$5="A",Inputs_Actuals!X156,IF(Assumptions!X$201&lt;Project_Register!$I$9,0,MAX(0,MAX(0,Project_Register!$U$9-X37)*Assumptions!$C$134+MAX(0,Project_Register!$V$9-X50)*Assumptions!$C$135-(Project_Register!$F$9-X89))))</f>
        <v>0</v>
      </c>
      <c r="Y141" s="67" t="n">
        <f aca="false">IF(Y$5="A",Inputs_Actuals!Y156,IF(Assumptions!Y$201&lt;Project_Register!$I$9,0,MAX(0,MAX(0,Project_Register!$U$9-Y37)*Assumptions!$C$134+MAX(0,Project_Register!$V$9-Y50)*Assumptions!$C$135-(Project_Register!$F$9-Y89))))</f>
        <v>0</v>
      </c>
      <c r="Z141" s="67" t="n">
        <f aca="false">IF(Z$5="A",Inputs_Actuals!Z156,IF(Assumptions!Z$201&lt;Project_Register!$I$9,0,MAX(0,MAX(0,Project_Register!$U$9-Z37)*Assumptions!$C$134+MAX(0,Project_Register!$V$9-Z50)*Assumptions!$C$135-(Project_Register!$F$9-Z89))))</f>
        <v>0</v>
      </c>
      <c r="AA141" s="67" t="n">
        <f aca="false">IF(AA$5="A",Inputs_Actuals!AA156,IF(Assumptions!AA$201&lt;Project_Register!$I$9,0,MAX(0,MAX(0,Project_Register!$U$9-AA37)*Assumptions!$C$134+MAX(0,Project_Register!$V$9-AA50)*Assumptions!$C$135-(Project_Register!$F$9-AA89))))</f>
        <v>0</v>
      </c>
      <c r="AB141" s="67" t="n">
        <f aca="false">IF(AB$5="A",Inputs_Actuals!AB156,IF(Assumptions!AB$201&lt;Project_Register!$I$9,0,MAX(0,MAX(0,Project_Register!$U$9-AB37)*Assumptions!$C$134+MAX(0,Project_Register!$V$9-AB50)*Assumptions!$C$135-(Project_Register!$F$9-AB89))))</f>
        <v>0</v>
      </c>
    </row>
    <row r="142" customFormat="false" ht="15" hidden="false" customHeight="false" outlineLevel="0" collapsed="false">
      <c r="A142" s="27" t="s">
        <v>943</v>
      </c>
      <c r="B142" s="63"/>
      <c r="C142" s="66" t="n">
        <f aca="false">P142</f>
        <v>0</v>
      </c>
      <c r="D142" s="66" t="n">
        <f aca="false">AB142</f>
        <v>0</v>
      </c>
      <c r="E142" s="67" t="n">
        <f aca="false">IF(E$5="A",Inputs_Actuals!E159,0)</f>
        <v>0</v>
      </c>
      <c r="F142" s="67" t="n">
        <f aca="false">IF(F$5="A",Inputs_Actuals!F159,0)</f>
        <v>0</v>
      </c>
      <c r="G142" s="67" t="n">
        <f aca="false">IF(G$5="A",Inputs_Actuals!G159,0)</f>
        <v>0</v>
      </c>
      <c r="H142" s="67" t="n">
        <f aca="false">IF(H$5="A",Inputs_Actuals!H159,0)</f>
        <v>0</v>
      </c>
      <c r="I142" s="67" t="n">
        <f aca="false">IF(I$5="A",Inputs_Actuals!I159,0)</f>
        <v>0</v>
      </c>
      <c r="J142" s="67" t="n">
        <f aca="false">IF(J$5="A",Inputs_Actuals!J159,0)</f>
        <v>0</v>
      </c>
      <c r="K142" s="67" t="n">
        <f aca="false">IF(K$5="A",Inputs_Actuals!K159,0)</f>
        <v>0</v>
      </c>
      <c r="L142" s="67" t="n">
        <f aca="false">IF(L$5="A",Inputs_Actuals!L159,0)</f>
        <v>0</v>
      </c>
      <c r="M142" s="67" t="n">
        <f aca="false">IF(M$5="A",Inputs_Actuals!M159,0)</f>
        <v>0</v>
      </c>
      <c r="N142" s="67" t="n">
        <f aca="false">IF(N$5="A",Inputs_Actuals!N159,0)</f>
        <v>0</v>
      </c>
      <c r="O142" s="67" t="n">
        <f aca="false">IF(O$5="A",Inputs_Actuals!O159,0)</f>
        <v>0</v>
      </c>
      <c r="P142" s="67" t="n">
        <f aca="false">IF(P$5="A",Inputs_Actuals!P159,0)</f>
        <v>0</v>
      </c>
      <c r="Q142" s="67" t="n">
        <f aca="false">IF(Q$5="A",Inputs_Actuals!Q159,0)</f>
        <v>0</v>
      </c>
      <c r="R142" s="67" t="n">
        <f aca="false">IF(R$5="A",Inputs_Actuals!R159,0)</f>
        <v>0</v>
      </c>
      <c r="S142" s="67" t="n">
        <f aca="false">IF(S$5="A",Inputs_Actuals!S159,0)</f>
        <v>0</v>
      </c>
      <c r="T142" s="67" t="n">
        <f aca="false">IF(T$5="A",Inputs_Actuals!T159,0)</f>
        <v>0</v>
      </c>
      <c r="U142" s="67" t="n">
        <f aca="false">IF(U$5="A",Inputs_Actuals!U159,0)</f>
        <v>0</v>
      </c>
      <c r="V142" s="67" t="n">
        <f aca="false">IF(V$5="A",Inputs_Actuals!V159,0)</f>
        <v>0</v>
      </c>
      <c r="W142" s="67" t="n">
        <f aca="false">IF(W$5="A",Inputs_Actuals!W159,0)</f>
        <v>0</v>
      </c>
      <c r="X142" s="67" t="n">
        <f aca="false">IF(X$5="A",Inputs_Actuals!X159,0)</f>
        <v>0</v>
      </c>
      <c r="Y142" s="67" t="n">
        <f aca="false">IF(Y$5="A",Inputs_Actuals!Y159,0)</f>
        <v>0</v>
      </c>
      <c r="Z142" s="67" t="n">
        <f aca="false">IF(Z$5="A",Inputs_Actuals!Z159,0)</f>
        <v>0</v>
      </c>
      <c r="AA142" s="67" t="n">
        <f aca="false">IF(AA$5="A",Inputs_Actuals!AA159,0)</f>
        <v>0</v>
      </c>
      <c r="AB142" s="67" t="n">
        <f aca="false">IF(AB$5="A",Inputs_Actuals!AB159,0)</f>
        <v>0</v>
      </c>
    </row>
    <row r="143" customFormat="false" ht="15" hidden="false" customHeight="false" outlineLevel="0" collapsed="false">
      <c r="A143" s="27" t="s">
        <v>944</v>
      </c>
      <c r="B143" s="63"/>
      <c r="C143" s="66" t="n">
        <f aca="false">P143</f>
        <v>0</v>
      </c>
      <c r="D143" s="66" t="n">
        <f aca="false">AB143</f>
        <v>0</v>
      </c>
      <c r="E143" s="67" t="n">
        <f aca="false">IF(E$5="A",Inputs_Actuals!E162,0)</f>
        <v>0</v>
      </c>
      <c r="F143" s="67" t="n">
        <f aca="false">IF(F$5="A",Inputs_Actuals!F162,0)</f>
        <v>0</v>
      </c>
      <c r="G143" s="67" t="n">
        <f aca="false">IF(G$5="A",Inputs_Actuals!G162,0)</f>
        <v>0</v>
      </c>
      <c r="H143" s="67" t="n">
        <f aca="false">IF(H$5="A",Inputs_Actuals!H162,0)</f>
        <v>0</v>
      </c>
      <c r="I143" s="67" t="n">
        <f aca="false">IF(I$5="A",Inputs_Actuals!I162,0)</f>
        <v>0</v>
      </c>
      <c r="J143" s="67" t="n">
        <f aca="false">IF(J$5="A",Inputs_Actuals!J162,0)</f>
        <v>0</v>
      </c>
      <c r="K143" s="67" t="n">
        <f aca="false">IF(K$5="A",Inputs_Actuals!K162,0)</f>
        <v>0</v>
      </c>
      <c r="L143" s="67" t="n">
        <f aca="false">IF(L$5="A",Inputs_Actuals!L162,0)</f>
        <v>0</v>
      </c>
      <c r="M143" s="67" t="n">
        <f aca="false">IF(M$5="A",Inputs_Actuals!M162,0)</f>
        <v>0</v>
      </c>
      <c r="N143" s="67" t="n">
        <f aca="false">IF(N$5="A",Inputs_Actuals!N162,0)</f>
        <v>0</v>
      </c>
      <c r="O143" s="67" t="n">
        <f aca="false">IF(O$5="A",Inputs_Actuals!O162,0)</f>
        <v>0</v>
      </c>
      <c r="P143" s="67" t="n">
        <f aca="false">IF(P$5="A",Inputs_Actuals!P162,0)</f>
        <v>0</v>
      </c>
      <c r="Q143" s="67" t="n">
        <f aca="false">IF(Q$5="A",Inputs_Actuals!Q162,0)</f>
        <v>0</v>
      </c>
      <c r="R143" s="67" t="n">
        <f aca="false">IF(R$5="A",Inputs_Actuals!R162,0)</f>
        <v>0</v>
      </c>
      <c r="S143" s="67" t="n">
        <f aca="false">IF(S$5="A",Inputs_Actuals!S162,0)</f>
        <v>0</v>
      </c>
      <c r="T143" s="67" t="n">
        <f aca="false">IF(T$5="A",Inputs_Actuals!T162,0)</f>
        <v>0</v>
      </c>
      <c r="U143" s="67" t="n">
        <f aca="false">IF(U$5="A",Inputs_Actuals!U162,0)</f>
        <v>0</v>
      </c>
      <c r="V143" s="67" t="n">
        <f aca="false">IF(V$5="A",Inputs_Actuals!V162,0)</f>
        <v>0</v>
      </c>
      <c r="W143" s="67" t="n">
        <f aca="false">IF(W$5="A",Inputs_Actuals!W162,0)</f>
        <v>0</v>
      </c>
      <c r="X143" s="67" t="n">
        <f aca="false">IF(X$5="A",Inputs_Actuals!X162,0)</f>
        <v>0</v>
      </c>
      <c r="Y143" s="67" t="n">
        <f aca="false">IF(Y$5="A",Inputs_Actuals!Y162,0)</f>
        <v>0</v>
      </c>
      <c r="Z143" s="67" t="n">
        <f aca="false">IF(Z$5="A",Inputs_Actuals!Z162,0)</f>
        <v>0</v>
      </c>
      <c r="AA143" s="67" t="n">
        <f aca="false">IF(AA$5="A",Inputs_Actuals!AA162,0)</f>
        <v>0</v>
      </c>
      <c r="AB143" s="67" t="n">
        <f aca="false">IF(AB$5="A",Inputs_Actuals!AB162,0)</f>
        <v>0</v>
      </c>
    </row>
    <row r="144" customFormat="false" ht="15" hidden="false" customHeight="false" outlineLevel="0" collapsed="false">
      <c r="A144" s="27" t="s">
        <v>945</v>
      </c>
      <c r="B144" s="63"/>
      <c r="C144" s="66" t="n">
        <f aca="false">P144</f>
        <v>0</v>
      </c>
      <c r="D144" s="66" t="n">
        <f aca="false">AB144</f>
        <v>0</v>
      </c>
      <c r="E144" s="67" t="n">
        <f aca="false">IF(E$5="A",Inputs_Actuals!E165,IF(Assumptions!E$201&lt;Project_Register!$I$12,0,MAX(0,MAX(0,Project_Register!$U$12-E40)*Assumptions!$C$134+MAX(0,Project_Register!$V$12-E53)*Assumptions!$C$135-(Project_Register!$F$12-E92))))</f>
        <v>0</v>
      </c>
      <c r="F144" s="67" t="n">
        <f aca="false">IF(F$5="A",Inputs_Actuals!F165,IF(Assumptions!F$201&lt;Project_Register!$I$12,0,MAX(0,MAX(0,Project_Register!$U$12-F40)*Assumptions!$C$134+MAX(0,Project_Register!$V$12-F53)*Assumptions!$C$135-(Project_Register!$F$12-F92))))</f>
        <v>0</v>
      </c>
      <c r="G144" s="67" t="n">
        <f aca="false">IF(G$5="A",Inputs_Actuals!G165,IF(Assumptions!G$201&lt;Project_Register!$I$12,0,MAX(0,MAX(0,Project_Register!$U$12-G40)*Assumptions!$C$134+MAX(0,Project_Register!$V$12-G53)*Assumptions!$C$135-(Project_Register!$F$12-G92))))</f>
        <v>0</v>
      </c>
      <c r="H144" s="67" t="n">
        <f aca="false">IF(H$5="A",Inputs_Actuals!H165,IF(Assumptions!H$201&lt;Project_Register!$I$12,0,MAX(0,MAX(0,Project_Register!$U$12-H40)*Assumptions!$C$134+MAX(0,Project_Register!$V$12-H53)*Assumptions!$C$135-(Project_Register!$F$12-H92))))</f>
        <v>0</v>
      </c>
      <c r="I144" s="67" t="n">
        <f aca="false">IF(I$5="A",Inputs_Actuals!I165,IF(Assumptions!I$201&lt;Project_Register!$I$12,0,MAX(0,MAX(0,Project_Register!$U$12-I40)*Assumptions!$C$134+MAX(0,Project_Register!$V$12-I53)*Assumptions!$C$135-(Project_Register!$F$12-I92))))</f>
        <v>0</v>
      </c>
      <c r="J144" s="67" t="n">
        <f aca="false">IF(J$5="A",Inputs_Actuals!J165,IF(Assumptions!J$201&lt;Project_Register!$I$12,0,MAX(0,MAX(0,Project_Register!$U$12-J40)*Assumptions!$C$134+MAX(0,Project_Register!$V$12-J53)*Assumptions!$C$135-(Project_Register!$F$12-J92))))</f>
        <v>0</v>
      </c>
      <c r="K144" s="67" t="n">
        <f aca="false">IF(K$5="A",Inputs_Actuals!K165,IF(Assumptions!K$201&lt;Project_Register!$I$12,0,MAX(0,MAX(0,Project_Register!$U$12-K40)*Assumptions!$C$134+MAX(0,Project_Register!$V$12-K53)*Assumptions!$C$135-(Project_Register!$F$12-K92))))</f>
        <v>0</v>
      </c>
      <c r="L144" s="67" t="n">
        <f aca="false">IF(L$5="A",Inputs_Actuals!L165,IF(Assumptions!L$201&lt;Project_Register!$I$12,0,MAX(0,MAX(0,Project_Register!$U$12-L40)*Assumptions!$C$134+MAX(0,Project_Register!$V$12-L53)*Assumptions!$C$135-(Project_Register!$F$12-L92))))</f>
        <v>0</v>
      </c>
      <c r="M144" s="67" t="n">
        <f aca="false">IF(M$5="A",Inputs_Actuals!M165,IF(Assumptions!M$201&lt;Project_Register!$I$12,0,MAX(0,MAX(0,Project_Register!$U$12-M40)*Assumptions!$C$134+MAX(0,Project_Register!$V$12-M53)*Assumptions!$C$135-(Project_Register!$F$12-M92))))</f>
        <v>0</v>
      </c>
      <c r="N144" s="67" t="n">
        <f aca="false">IF(N$5="A",Inputs_Actuals!N165,IF(Assumptions!N$201&lt;Project_Register!$I$12,0,MAX(0,MAX(0,Project_Register!$U$12-N40)*Assumptions!$C$134+MAX(0,Project_Register!$V$12-N53)*Assumptions!$C$135-(Project_Register!$F$12-N92))))</f>
        <v>0</v>
      </c>
      <c r="O144" s="67" t="n">
        <f aca="false">IF(O$5="A",Inputs_Actuals!O165,IF(Assumptions!O$201&lt;Project_Register!$I$12,0,MAX(0,MAX(0,Project_Register!$U$12-O40)*Assumptions!$C$134+MAX(0,Project_Register!$V$12-O53)*Assumptions!$C$135-(Project_Register!$F$12-O92))))</f>
        <v>0</v>
      </c>
      <c r="P144" s="67" t="n">
        <f aca="false">IF(P$5="A",Inputs_Actuals!P165,IF(Assumptions!P$201&lt;Project_Register!$I$12,0,MAX(0,MAX(0,Project_Register!$U$12-P40)*Assumptions!$C$134+MAX(0,Project_Register!$V$12-P53)*Assumptions!$C$135-(Project_Register!$F$12-P92))))</f>
        <v>0</v>
      </c>
      <c r="Q144" s="67" t="n">
        <f aca="false">IF(Q$5="A",Inputs_Actuals!Q165,IF(Assumptions!Q$201&lt;Project_Register!$I$12,0,MAX(0,MAX(0,Project_Register!$U$12-Q40)*Assumptions!$C$134+MAX(0,Project_Register!$V$12-Q53)*Assumptions!$C$135-(Project_Register!$F$12-Q92))))</f>
        <v>0</v>
      </c>
      <c r="R144" s="67" t="n">
        <f aca="false">IF(R$5="A",Inputs_Actuals!R165,IF(Assumptions!R$201&lt;Project_Register!$I$12,0,MAX(0,MAX(0,Project_Register!$U$12-R40)*Assumptions!$C$134+MAX(0,Project_Register!$V$12-R53)*Assumptions!$C$135-(Project_Register!$F$12-R92))))</f>
        <v>0</v>
      </c>
      <c r="S144" s="67" t="n">
        <f aca="false">IF(S$5="A",Inputs_Actuals!S165,IF(Assumptions!S$201&lt;Project_Register!$I$12,0,MAX(0,MAX(0,Project_Register!$U$12-S40)*Assumptions!$C$134+MAX(0,Project_Register!$V$12-S53)*Assumptions!$C$135-(Project_Register!$F$12-S92))))</f>
        <v>0</v>
      </c>
      <c r="T144" s="67" t="n">
        <f aca="false">IF(T$5="A",Inputs_Actuals!T165,IF(Assumptions!T$201&lt;Project_Register!$I$12,0,MAX(0,MAX(0,Project_Register!$U$12-T40)*Assumptions!$C$134+MAX(0,Project_Register!$V$12-T53)*Assumptions!$C$135-(Project_Register!$F$12-T92))))</f>
        <v>0</v>
      </c>
      <c r="U144" s="67" t="n">
        <f aca="false">IF(U$5="A",Inputs_Actuals!U165,IF(Assumptions!U$201&lt;Project_Register!$I$12,0,MAX(0,MAX(0,Project_Register!$U$12-U40)*Assumptions!$C$134+MAX(0,Project_Register!$V$12-U53)*Assumptions!$C$135-(Project_Register!$F$12-U92))))</f>
        <v>0</v>
      </c>
      <c r="V144" s="67" t="n">
        <f aca="false">IF(V$5="A",Inputs_Actuals!V165,IF(Assumptions!V$201&lt;Project_Register!$I$12,0,MAX(0,MAX(0,Project_Register!$U$12-V40)*Assumptions!$C$134+MAX(0,Project_Register!$V$12-V53)*Assumptions!$C$135-(Project_Register!$F$12-V92))))</f>
        <v>0</v>
      </c>
      <c r="W144" s="67" t="n">
        <f aca="false">IF(W$5="A",Inputs_Actuals!W165,IF(Assumptions!W$201&lt;Project_Register!$I$12,0,MAX(0,MAX(0,Project_Register!$U$12-W40)*Assumptions!$C$134+MAX(0,Project_Register!$V$12-W53)*Assumptions!$C$135-(Project_Register!$F$12-W92))))</f>
        <v>0</v>
      </c>
      <c r="X144" s="67" t="n">
        <f aca="false">IF(X$5="A",Inputs_Actuals!X165,IF(Assumptions!X$201&lt;Project_Register!$I$12,0,MAX(0,MAX(0,Project_Register!$U$12-X40)*Assumptions!$C$134+MAX(0,Project_Register!$V$12-X53)*Assumptions!$C$135-(Project_Register!$F$12-X92))))</f>
        <v>0</v>
      </c>
      <c r="Y144" s="67" t="n">
        <f aca="false">IF(Y$5="A",Inputs_Actuals!Y165,IF(Assumptions!Y$201&lt;Project_Register!$I$12,0,MAX(0,MAX(0,Project_Register!$U$12-Y40)*Assumptions!$C$134+MAX(0,Project_Register!$V$12-Y53)*Assumptions!$C$135-(Project_Register!$F$12-Y92))))</f>
        <v>0</v>
      </c>
      <c r="Z144" s="67" t="n">
        <f aca="false">IF(Z$5="A",Inputs_Actuals!Z165,IF(Assumptions!Z$201&lt;Project_Register!$I$12,0,MAX(0,MAX(0,Project_Register!$U$12-Z40)*Assumptions!$C$134+MAX(0,Project_Register!$V$12-Z53)*Assumptions!$C$135-(Project_Register!$F$12-Z92))))</f>
        <v>0</v>
      </c>
      <c r="AA144" s="67" t="n">
        <f aca="false">IF(AA$5="A",Inputs_Actuals!AA165,IF(Assumptions!AA$201&lt;Project_Register!$I$12,0,MAX(0,MAX(0,Project_Register!$U$12-AA40)*Assumptions!$C$134+MAX(0,Project_Register!$V$12-AA53)*Assumptions!$C$135-(Project_Register!$F$12-AA92))))</f>
        <v>0</v>
      </c>
      <c r="AB144" s="67" t="n">
        <f aca="false">IF(AB$5="A",Inputs_Actuals!AB165,IF(Assumptions!AB$201&lt;Project_Register!$I$12,0,MAX(0,MAX(0,Project_Register!$U$12-AB40)*Assumptions!$C$134+MAX(0,Project_Register!$V$12-AB53)*Assumptions!$C$135-(Project_Register!$F$12-AB92))))</f>
        <v>0</v>
      </c>
    </row>
    <row r="145" customFormat="false" ht="15" hidden="false" customHeight="false" outlineLevel="0" collapsed="false">
      <c r="A145" s="27" t="s">
        <v>946</v>
      </c>
      <c r="B145" s="63"/>
      <c r="C145" s="66" t="n">
        <f aca="false">P145</f>
        <v>0</v>
      </c>
      <c r="D145" s="66" t="n">
        <f aca="false">AB145</f>
        <v>0</v>
      </c>
      <c r="E145" s="67" t="n">
        <f aca="false">IF(E$5="A",Inputs_Actuals!E168,IF(Assumptions!E$201&lt;Project_Register!$I$13,0,MAX(0,MAX(0,Project_Register!$U$13-E41)*Assumptions!$C$134+MAX(0,Project_Register!$V$13-E54)*Assumptions!$C$135-(Project_Register!$F$13-E93))))</f>
        <v>0</v>
      </c>
      <c r="F145" s="67" t="n">
        <f aca="false">IF(F$5="A",Inputs_Actuals!F168,IF(Assumptions!F$201&lt;Project_Register!$I$13,0,MAX(0,MAX(0,Project_Register!$U$13-F41)*Assumptions!$C$134+MAX(0,Project_Register!$V$13-F54)*Assumptions!$C$135-(Project_Register!$F$13-F93))))</f>
        <v>0</v>
      </c>
      <c r="G145" s="67" t="n">
        <f aca="false">IF(G$5="A",Inputs_Actuals!G168,IF(Assumptions!G$201&lt;Project_Register!$I$13,0,MAX(0,MAX(0,Project_Register!$U$13-G41)*Assumptions!$C$134+MAX(0,Project_Register!$V$13-G54)*Assumptions!$C$135-(Project_Register!$F$13-G93))))</f>
        <v>0</v>
      </c>
      <c r="H145" s="67" t="n">
        <f aca="false">IF(H$5="A",Inputs_Actuals!H168,IF(Assumptions!H$201&lt;Project_Register!$I$13,0,MAX(0,MAX(0,Project_Register!$U$13-H41)*Assumptions!$C$134+MAX(0,Project_Register!$V$13-H54)*Assumptions!$C$135-(Project_Register!$F$13-H93))))</f>
        <v>0</v>
      </c>
      <c r="I145" s="67" t="n">
        <f aca="false">IF(I$5="A",Inputs_Actuals!I168,IF(Assumptions!I$201&lt;Project_Register!$I$13,0,MAX(0,MAX(0,Project_Register!$U$13-I41)*Assumptions!$C$134+MAX(0,Project_Register!$V$13-I54)*Assumptions!$C$135-(Project_Register!$F$13-I93))))</f>
        <v>0</v>
      </c>
      <c r="J145" s="67" t="n">
        <f aca="false">IF(J$5="A",Inputs_Actuals!J168,IF(Assumptions!J$201&lt;Project_Register!$I$13,0,MAX(0,MAX(0,Project_Register!$U$13-J41)*Assumptions!$C$134+MAX(0,Project_Register!$V$13-J54)*Assumptions!$C$135-(Project_Register!$F$13-J93))))</f>
        <v>0</v>
      </c>
      <c r="K145" s="67" t="n">
        <f aca="false">IF(K$5="A",Inputs_Actuals!K168,IF(Assumptions!K$201&lt;Project_Register!$I$13,0,MAX(0,MAX(0,Project_Register!$U$13-K41)*Assumptions!$C$134+MAX(0,Project_Register!$V$13-K54)*Assumptions!$C$135-(Project_Register!$F$13-K93))))</f>
        <v>0</v>
      </c>
      <c r="L145" s="67" t="n">
        <f aca="false">IF(L$5="A",Inputs_Actuals!L168,IF(Assumptions!L$201&lt;Project_Register!$I$13,0,MAX(0,MAX(0,Project_Register!$U$13-L41)*Assumptions!$C$134+MAX(0,Project_Register!$V$13-L54)*Assumptions!$C$135-(Project_Register!$F$13-L93))))</f>
        <v>0</v>
      </c>
      <c r="M145" s="67" t="n">
        <f aca="false">IF(M$5="A",Inputs_Actuals!M168,IF(Assumptions!M$201&lt;Project_Register!$I$13,0,MAX(0,MAX(0,Project_Register!$U$13-M41)*Assumptions!$C$134+MAX(0,Project_Register!$V$13-M54)*Assumptions!$C$135-(Project_Register!$F$13-M93))))</f>
        <v>0</v>
      </c>
      <c r="N145" s="67" t="n">
        <f aca="false">IF(N$5="A",Inputs_Actuals!N168,IF(Assumptions!N$201&lt;Project_Register!$I$13,0,MAX(0,MAX(0,Project_Register!$U$13-N41)*Assumptions!$C$134+MAX(0,Project_Register!$V$13-N54)*Assumptions!$C$135-(Project_Register!$F$13-N93))))</f>
        <v>0</v>
      </c>
      <c r="O145" s="67" t="n">
        <f aca="false">IF(O$5="A",Inputs_Actuals!O168,IF(Assumptions!O$201&lt;Project_Register!$I$13,0,MAX(0,MAX(0,Project_Register!$U$13-O41)*Assumptions!$C$134+MAX(0,Project_Register!$V$13-O54)*Assumptions!$C$135-(Project_Register!$F$13-O93))))</f>
        <v>0</v>
      </c>
      <c r="P145" s="67" t="n">
        <f aca="false">IF(P$5="A",Inputs_Actuals!P168,IF(Assumptions!P$201&lt;Project_Register!$I$13,0,MAX(0,MAX(0,Project_Register!$U$13-P41)*Assumptions!$C$134+MAX(0,Project_Register!$V$13-P54)*Assumptions!$C$135-(Project_Register!$F$13-P93))))</f>
        <v>0</v>
      </c>
      <c r="Q145" s="67" t="n">
        <f aca="false">IF(Q$5="A",Inputs_Actuals!Q168,IF(Assumptions!Q$201&lt;Project_Register!$I$13,0,MAX(0,MAX(0,Project_Register!$U$13-Q41)*Assumptions!$C$134+MAX(0,Project_Register!$V$13-Q54)*Assumptions!$C$135-(Project_Register!$F$13-Q93))))</f>
        <v>0</v>
      </c>
      <c r="R145" s="67" t="n">
        <f aca="false">IF(R$5="A",Inputs_Actuals!R168,IF(Assumptions!R$201&lt;Project_Register!$I$13,0,MAX(0,MAX(0,Project_Register!$U$13-R41)*Assumptions!$C$134+MAX(0,Project_Register!$V$13-R54)*Assumptions!$C$135-(Project_Register!$F$13-R93))))</f>
        <v>0</v>
      </c>
      <c r="S145" s="67" t="n">
        <f aca="false">IF(S$5="A",Inputs_Actuals!S168,IF(Assumptions!S$201&lt;Project_Register!$I$13,0,MAX(0,MAX(0,Project_Register!$U$13-S41)*Assumptions!$C$134+MAX(0,Project_Register!$V$13-S54)*Assumptions!$C$135-(Project_Register!$F$13-S93))))</f>
        <v>0</v>
      </c>
      <c r="T145" s="67" t="n">
        <f aca="false">IF(T$5="A",Inputs_Actuals!T168,IF(Assumptions!T$201&lt;Project_Register!$I$13,0,MAX(0,MAX(0,Project_Register!$U$13-T41)*Assumptions!$C$134+MAX(0,Project_Register!$V$13-T54)*Assumptions!$C$135-(Project_Register!$F$13-T93))))</f>
        <v>0</v>
      </c>
      <c r="U145" s="67" t="n">
        <f aca="false">IF(U$5="A",Inputs_Actuals!U168,IF(Assumptions!U$201&lt;Project_Register!$I$13,0,MAX(0,MAX(0,Project_Register!$U$13-U41)*Assumptions!$C$134+MAX(0,Project_Register!$V$13-U54)*Assumptions!$C$135-(Project_Register!$F$13-U93))))</f>
        <v>0</v>
      </c>
      <c r="V145" s="67" t="n">
        <f aca="false">IF(V$5="A",Inputs_Actuals!V168,IF(Assumptions!V$201&lt;Project_Register!$I$13,0,MAX(0,MAX(0,Project_Register!$U$13-V41)*Assumptions!$C$134+MAX(0,Project_Register!$V$13-V54)*Assumptions!$C$135-(Project_Register!$F$13-V93))))</f>
        <v>0</v>
      </c>
      <c r="W145" s="67" t="n">
        <f aca="false">IF(W$5="A",Inputs_Actuals!W168,IF(Assumptions!W$201&lt;Project_Register!$I$13,0,MAX(0,MAX(0,Project_Register!$U$13-W41)*Assumptions!$C$134+MAX(0,Project_Register!$V$13-W54)*Assumptions!$C$135-(Project_Register!$F$13-W93))))</f>
        <v>0</v>
      </c>
      <c r="X145" s="67" t="n">
        <f aca="false">IF(X$5="A",Inputs_Actuals!X168,IF(Assumptions!X$201&lt;Project_Register!$I$13,0,MAX(0,MAX(0,Project_Register!$U$13-X41)*Assumptions!$C$134+MAX(0,Project_Register!$V$13-X54)*Assumptions!$C$135-(Project_Register!$F$13-X93))))</f>
        <v>0</v>
      </c>
      <c r="Y145" s="67" t="n">
        <f aca="false">IF(Y$5="A",Inputs_Actuals!Y168,IF(Assumptions!Y$201&lt;Project_Register!$I$13,0,MAX(0,MAX(0,Project_Register!$U$13-Y41)*Assumptions!$C$134+MAX(0,Project_Register!$V$13-Y54)*Assumptions!$C$135-(Project_Register!$F$13-Y93))))</f>
        <v>0</v>
      </c>
      <c r="Z145" s="67" t="n">
        <f aca="false">IF(Z$5="A",Inputs_Actuals!Z168,IF(Assumptions!Z$201&lt;Project_Register!$I$13,0,MAX(0,MAX(0,Project_Register!$U$13-Z41)*Assumptions!$C$134+MAX(0,Project_Register!$V$13-Z54)*Assumptions!$C$135-(Project_Register!$F$13-Z93))))</f>
        <v>0</v>
      </c>
      <c r="AA145" s="67" t="n">
        <f aca="false">IF(AA$5="A",Inputs_Actuals!AA168,IF(Assumptions!AA$201&lt;Project_Register!$I$13,0,MAX(0,MAX(0,Project_Register!$U$13-AA41)*Assumptions!$C$134+MAX(0,Project_Register!$V$13-AA54)*Assumptions!$C$135-(Project_Register!$F$13-AA93))))</f>
        <v>0</v>
      </c>
      <c r="AB145" s="67" t="n">
        <f aca="false">IF(AB$5="A",Inputs_Actuals!AB168,IF(Assumptions!AB$201&lt;Project_Register!$I$13,0,MAX(0,MAX(0,Project_Register!$U$13-AB41)*Assumptions!$C$134+MAX(0,Project_Register!$V$13-AB54)*Assumptions!$C$135-(Project_Register!$F$13-AB93))))</f>
        <v>0</v>
      </c>
    </row>
    <row r="146" customFormat="false" ht="15" hidden="false" customHeight="false" outlineLevel="0" collapsed="false">
      <c r="A146" s="27" t="s">
        <v>947</v>
      </c>
      <c r="B146" s="63"/>
      <c r="C146" s="66" t="n">
        <f aca="false">P146</f>
        <v>0</v>
      </c>
      <c r="D146" s="66" t="n">
        <f aca="false">AB146</f>
        <v>0</v>
      </c>
      <c r="E146" s="67" t="n">
        <f aca="false">IF(E$5="A",Inputs_Actuals!E171,IF(Assumptions!E$201&lt;Project_Register!$I$14,0,MAX(0,MAX(0,Project_Register!$U$14-E42)*Assumptions!$C$134+MAX(0,Project_Register!$V$14-E55)*Assumptions!$C$135-(Project_Register!$F$14-E94))))</f>
        <v>0</v>
      </c>
      <c r="F146" s="67" t="n">
        <f aca="false">IF(F$5="A",Inputs_Actuals!F171,IF(Assumptions!F$201&lt;Project_Register!$I$14,0,MAX(0,MAX(0,Project_Register!$U$14-F42)*Assumptions!$C$134+MAX(0,Project_Register!$V$14-F55)*Assumptions!$C$135-(Project_Register!$F$14-F94))))</f>
        <v>0</v>
      </c>
      <c r="G146" s="67" t="n">
        <f aca="false">IF(G$5="A",Inputs_Actuals!G171,IF(Assumptions!G$201&lt;Project_Register!$I$14,0,MAX(0,MAX(0,Project_Register!$U$14-G42)*Assumptions!$C$134+MAX(0,Project_Register!$V$14-G55)*Assumptions!$C$135-(Project_Register!$F$14-G94))))</f>
        <v>0</v>
      </c>
      <c r="H146" s="67" t="n">
        <f aca="false">IF(H$5="A",Inputs_Actuals!H171,IF(Assumptions!H$201&lt;Project_Register!$I$14,0,MAX(0,MAX(0,Project_Register!$U$14-H42)*Assumptions!$C$134+MAX(0,Project_Register!$V$14-H55)*Assumptions!$C$135-(Project_Register!$F$14-H94))))</f>
        <v>0</v>
      </c>
      <c r="I146" s="67" t="n">
        <f aca="false">IF(I$5="A",Inputs_Actuals!I171,IF(Assumptions!I$201&lt;Project_Register!$I$14,0,MAX(0,MAX(0,Project_Register!$U$14-I42)*Assumptions!$C$134+MAX(0,Project_Register!$V$14-I55)*Assumptions!$C$135-(Project_Register!$F$14-I94))))</f>
        <v>0</v>
      </c>
      <c r="J146" s="67" t="n">
        <f aca="false">IF(J$5="A",Inputs_Actuals!J171,IF(Assumptions!J$201&lt;Project_Register!$I$14,0,MAX(0,MAX(0,Project_Register!$U$14-J42)*Assumptions!$C$134+MAX(0,Project_Register!$V$14-J55)*Assumptions!$C$135-(Project_Register!$F$14-J94))))</f>
        <v>0</v>
      </c>
      <c r="K146" s="67" t="n">
        <f aca="false">IF(K$5="A",Inputs_Actuals!K171,IF(Assumptions!K$201&lt;Project_Register!$I$14,0,MAX(0,MAX(0,Project_Register!$U$14-K42)*Assumptions!$C$134+MAX(0,Project_Register!$V$14-K55)*Assumptions!$C$135-(Project_Register!$F$14-K94))))</f>
        <v>0</v>
      </c>
      <c r="L146" s="67" t="n">
        <f aca="false">IF(L$5="A",Inputs_Actuals!L171,IF(Assumptions!L$201&lt;Project_Register!$I$14,0,MAX(0,MAX(0,Project_Register!$U$14-L42)*Assumptions!$C$134+MAX(0,Project_Register!$V$14-L55)*Assumptions!$C$135-(Project_Register!$F$14-L94))))</f>
        <v>0</v>
      </c>
      <c r="M146" s="67" t="n">
        <f aca="false">IF(M$5="A",Inputs_Actuals!M171,IF(Assumptions!M$201&lt;Project_Register!$I$14,0,MAX(0,MAX(0,Project_Register!$U$14-M42)*Assumptions!$C$134+MAX(0,Project_Register!$V$14-M55)*Assumptions!$C$135-(Project_Register!$F$14-M94))))</f>
        <v>0</v>
      </c>
      <c r="N146" s="67" t="n">
        <f aca="false">IF(N$5="A",Inputs_Actuals!N171,IF(Assumptions!N$201&lt;Project_Register!$I$14,0,MAX(0,MAX(0,Project_Register!$U$14-N42)*Assumptions!$C$134+MAX(0,Project_Register!$V$14-N55)*Assumptions!$C$135-(Project_Register!$F$14-N94))))</f>
        <v>0</v>
      </c>
      <c r="O146" s="67" t="n">
        <f aca="false">IF(O$5="A",Inputs_Actuals!O171,IF(Assumptions!O$201&lt;Project_Register!$I$14,0,MAX(0,MAX(0,Project_Register!$U$14-O42)*Assumptions!$C$134+MAX(0,Project_Register!$V$14-O55)*Assumptions!$C$135-(Project_Register!$F$14-O94))))</f>
        <v>0</v>
      </c>
      <c r="P146" s="67" t="n">
        <f aca="false">IF(P$5="A",Inputs_Actuals!P171,IF(Assumptions!P$201&lt;Project_Register!$I$14,0,MAX(0,MAX(0,Project_Register!$U$14-P42)*Assumptions!$C$134+MAX(0,Project_Register!$V$14-P55)*Assumptions!$C$135-(Project_Register!$F$14-P94))))</f>
        <v>0</v>
      </c>
      <c r="Q146" s="67" t="n">
        <f aca="false">IF(Q$5="A",Inputs_Actuals!Q171,IF(Assumptions!Q$201&lt;Project_Register!$I$14,0,MAX(0,MAX(0,Project_Register!$U$14-Q42)*Assumptions!$C$134+MAX(0,Project_Register!$V$14-Q55)*Assumptions!$C$135-(Project_Register!$F$14-Q94))))</f>
        <v>0</v>
      </c>
      <c r="R146" s="67" t="n">
        <f aca="false">IF(R$5="A",Inputs_Actuals!R171,IF(Assumptions!R$201&lt;Project_Register!$I$14,0,MAX(0,MAX(0,Project_Register!$U$14-R42)*Assumptions!$C$134+MAX(0,Project_Register!$V$14-R55)*Assumptions!$C$135-(Project_Register!$F$14-R94))))</f>
        <v>0</v>
      </c>
      <c r="S146" s="67" t="n">
        <f aca="false">IF(S$5="A",Inputs_Actuals!S171,IF(Assumptions!S$201&lt;Project_Register!$I$14,0,MAX(0,MAX(0,Project_Register!$U$14-S42)*Assumptions!$C$134+MAX(0,Project_Register!$V$14-S55)*Assumptions!$C$135-(Project_Register!$F$14-S94))))</f>
        <v>0</v>
      </c>
      <c r="T146" s="67" t="n">
        <f aca="false">IF(T$5="A",Inputs_Actuals!T171,IF(Assumptions!T$201&lt;Project_Register!$I$14,0,MAX(0,MAX(0,Project_Register!$U$14-T42)*Assumptions!$C$134+MAX(0,Project_Register!$V$14-T55)*Assumptions!$C$135-(Project_Register!$F$14-T94))))</f>
        <v>0</v>
      </c>
      <c r="U146" s="67" t="n">
        <f aca="false">IF(U$5="A",Inputs_Actuals!U171,IF(Assumptions!U$201&lt;Project_Register!$I$14,0,MAX(0,MAX(0,Project_Register!$U$14-U42)*Assumptions!$C$134+MAX(0,Project_Register!$V$14-U55)*Assumptions!$C$135-(Project_Register!$F$14-U94))))</f>
        <v>0</v>
      </c>
      <c r="V146" s="67" t="n">
        <f aca="false">IF(V$5="A",Inputs_Actuals!V171,IF(Assumptions!V$201&lt;Project_Register!$I$14,0,MAX(0,MAX(0,Project_Register!$U$14-V42)*Assumptions!$C$134+MAX(0,Project_Register!$V$14-V55)*Assumptions!$C$135-(Project_Register!$F$14-V94))))</f>
        <v>0</v>
      </c>
      <c r="W146" s="67" t="n">
        <f aca="false">IF(W$5="A",Inputs_Actuals!W171,IF(Assumptions!W$201&lt;Project_Register!$I$14,0,MAX(0,MAX(0,Project_Register!$U$14-W42)*Assumptions!$C$134+MAX(0,Project_Register!$V$14-W55)*Assumptions!$C$135-(Project_Register!$F$14-W94))))</f>
        <v>0</v>
      </c>
      <c r="X146" s="67" t="n">
        <f aca="false">IF(X$5="A",Inputs_Actuals!X171,IF(Assumptions!X$201&lt;Project_Register!$I$14,0,MAX(0,MAX(0,Project_Register!$U$14-X42)*Assumptions!$C$134+MAX(0,Project_Register!$V$14-X55)*Assumptions!$C$135-(Project_Register!$F$14-X94))))</f>
        <v>0</v>
      </c>
      <c r="Y146" s="67" t="n">
        <f aca="false">IF(Y$5="A",Inputs_Actuals!Y171,IF(Assumptions!Y$201&lt;Project_Register!$I$14,0,MAX(0,MAX(0,Project_Register!$U$14-Y42)*Assumptions!$C$134+MAX(0,Project_Register!$V$14-Y55)*Assumptions!$C$135-(Project_Register!$F$14-Y94))))</f>
        <v>0</v>
      </c>
      <c r="Z146" s="67" t="n">
        <f aca="false">IF(Z$5="A",Inputs_Actuals!Z171,IF(Assumptions!Z$201&lt;Project_Register!$I$14,0,MAX(0,MAX(0,Project_Register!$U$14-Z42)*Assumptions!$C$134+MAX(0,Project_Register!$V$14-Z55)*Assumptions!$C$135-(Project_Register!$F$14-Z94))))</f>
        <v>0</v>
      </c>
      <c r="AA146" s="67" t="n">
        <f aca="false">IF(AA$5="A",Inputs_Actuals!AA171,IF(Assumptions!AA$201&lt;Project_Register!$I$14,0,MAX(0,MAX(0,Project_Register!$U$14-AA42)*Assumptions!$C$134+MAX(0,Project_Register!$V$14-AA55)*Assumptions!$C$135-(Project_Register!$F$14-AA94))))</f>
        <v>0</v>
      </c>
      <c r="AB146" s="67" t="n">
        <f aca="false">IF(AB$5="A",Inputs_Actuals!AB171,IF(Assumptions!AB$201&lt;Project_Register!$I$14,0,MAX(0,MAX(0,Project_Register!$U$14-AB42)*Assumptions!$C$134+MAX(0,Project_Register!$V$14-AB55)*Assumptions!$C$135-(Project_Register!$F$14-AB94))))</f>
        <v>0</v>
      </c>
    </row>
    <row r="147" customFormat="false" ht="15" hidden="false" customHeight="false" outlineLevel="0" collapsed="false">
      <c r="A147" s="27" t="s">
        <v>948</v>
      </c>
      <c r="B147" s="63"/>
      <c r="C147" s="66" t="n">
        <f aca="false">P147</f>
        <v>0</v>
      </c>
      <c r="D147" s="66" t="n">
        <f aca="false">AB147</f>
        <v>0</v>
      </c>
      <c r="E147" s="67" t="n">
        <f aca="false">IF(E$5="A",Inputs_Actuals!E174,0)</f>
        <v>0</v>
      </c>
      <c r="F147" s="67" t="n">
        <f aca="false">IF(F$5="A",Inputs_Actuals!F174,0)</f>
        <v>0</v>
      </c>
      <c r="G147" s="67" t="n">
        <f aca="false">IF(G$5="A",Inputs_Actuals!G174,0)</f>
        <v>0</v>
      </c>
      <c r="H147" s="67" t="n">
        <f aca="false">IF(H$5="A",Inputs_Actuals!H174,0)</f>
        <v>0</v>
      </c>
      <c r="I147" s="67" t="n">
        <f aca="false">IF(I$5="A",Inputs_Actuals!I174,0)</f>
        <v>0</v>
      </c>
      <c r="J147" s="67" t="n">
        <f aca="false">IF(J$5="A",Inputs_Actuals!J174,0)</f>
        <v>0</v>
      </c>
      <c r="K147" s="67" t="n">
        <f aca="false">IF(K$5="A",Inputs_Actuals!K174,0)</f>
        <v>0</v>
      </c>
      <c r="L147" s="67" t="n">
        <f aca="false">IF(L$5="A",Inputs_Actuals!L174,0)</f>
        <v>0</v>
      </c>
      <c r="M147" s="67" t="n">
        <f aca="false">IF(M$5="A",Inputs_Actuals!M174,0)</f>
        <v>0</v>
      </c>
      <c r="N147" s="67" t="n">
        <f aca="false">IF(N$5="A",Inputs_Actuals!N174,0)</f>
        <v>0</v>
      </c>
      <c r="O147" s="67" t="n">
        <f aca="false">IF(O$5="A",Inputs_Actuals!O174,0)</f>
        <v>0</v>
      </c>
      <c r="P147" s="67" t="n">
        <f aca="false">IF(P$5="A",Inputs_Actuals!P174,0)</f>
        <v>0</v>
      </c>
      <c r="Q147" s="67" t="n">
        <f aca="false">IF(Q$5="A",Inputs_Actuals!Q174,0)</f>
        <v>0</v>
      </c>
      <c r="R147" s="67" t="n">
        <f aca="false">IF(R$5="A",Inputs_Actuals!R174,0)</f>
        <v>0</v>
      </c>
      <c r="S147" s="67" t="n">
        <f aca="false">IF(S$5="A",Inputs_Actuals!S174,0)</f>
        <v>0</v>
      </c>
      <c r="T147" s="67" t="n">
        <f aca="false">IF(T$5="A",Inputs_Actuals!T174,0)</f>
        <v>0</v>
      </c>
      <c r="U147" s="67" t="n">
        <f aca="false">IF(U$5="A",Inputs_Actuals!U174,0)</f>
        <v>0</v>
      </c>
      <c r="V147" s="67" t="n">
        <f aca="false">IF(V$5="A",Inputs_Actuals!V174,0)</f>
        <v>0</v>
      </c>
      <c r="W147" s="67" t="n">
        <f aca="false">IF(W$5="A",Inputs_Actuals!W174,0)</f>
        <v>0</v>
      </c>
      <c r="X147" s="67" t="n">
        <f aca="false">IF(X$5="A",Inputs_Actuals!X174,0)</f>
        <v>0</v>
      </c>
      <c r="Y147" s="67" t="n">
        <f aca="false">IF(Y$5="A",Inputs_Actuals!Y174,0)</f>
        <v>0</v>
      </c>
      <c r="Z147" s="67" t="n">
        <f aca="false">IF(Z$5="A",Inputs_Actuals!Z174,0)</f>
        <v>0</v>
      </c>
      <c r="AA147" s="67" t="n">
        <f aca="false">IF(AA$5="A",Inputs_Actuals!AA174,0)</f>
        <v>0</v>
      </c>
      <c r="AB147" s="67" t="n">
        <f aca="false">IF(AB$5="A",Inputs_Actuals!AB174,0)</f>
        <v>0</v>
      </c>
    </row>
    <row r="148" customFormat="false" ht="15" hidden="false" customHeight="false" outlineLevel="0" collapsed="false">
      <c r="A148" s="27" t="s">
        <v>949</v>
      </c>
      <c r="B148" s="63"/>
      <c r="C148" s="66" t="n">
        <f aca="false">P148</f>
        <v>0</v>
      </c>
      <c r="D148" s="66" t="n">
        <f aca="false">AB148</f>
        <v>0</v>
      </c>
      <c r="E148" s="67" t="n">
        <f aca="false">IF(E$5="A",Inputs_Actuals!E177,IF(Assumptions!E$201&lt;Project_Register!$I$16,0,MAX(0,MAX(0,Project_Register!$U$16-E44)*Assumptions!$C$134+MAX(0,Project_Register!$V$16-E57)*Assumptions!$C$135-(Project_Register!$F$16-E96))))</f>
        <v>0</v>
      </c>
      <c r="F148" s="67" t="n">
        <f aca="false">IF(F$5="A",Inputs_Actuals!F177,IF(Assumptions!F$201&lt;Project_Register!$I$16,0,MAX(0,MAX(0,Project_Register!$U$16-F44)*Assumptions!$C$134+MAX(0,Project_Register!$V$16-F57)*Assumptions!$C$135-(Project_Register!$F$16-F96))))</f>
        <v>0</v>
      </c>
      <c r="G148" s="67" t="n">
        <f aca="false">IF(G$5="A",Inputs_Actuals!G177,IF(Assumptions!G$201&lt;Project_Register!$I$16,0,MAX(0,MAX(0,Project_Register!$U$16-G44)*Assumptions!$C$134+MAX(0,Project_Register!$V$16-G57)*Assumptions!$C$135-(Project_Register!$F$16-G96))))</f>
        <v>0</v>
      </c>
      <c r="H148" s="67" t="n">
        <f aca="false">IF(H$5="A",Inputs_Actuals!H177,IF(Assumptions!H$201&lt;Project_Register!$I$16,0,MAX(0,MAX(0,Project_Register!$U$16-H44)*Assumptions!$C$134+MAX(0,Project_Register!$V$16-H57)*Assumptions!$C$135-(Project_Register!$F$16-H96))))</f>
        <v>0</v>
      </c>
      <c r="I148" s="67" t="n">
        <f aca="false">IF(I$5="A",Inputs_Actuals!I177,IF(Assumptions!I$201&lt;Project_Register!$I$16,0,MAX(0,MAX(0,Project_Register!$U$16-I44)*Assumptions!$C$134+MAX(0,Project_Register!$V$16-I57)*Assumptions!$C$135-(Project_Register!$F$16-I96))))</f>
        <v>0</v>
      </c>
      <c r="J148" s="67" t="n">
        <f aca="false">IF(J$5="A",Inputs_Actuals!J177,IF(Assumptions!J$201&lt;Project_Register!$I$16,0,MAX(0,MAX(0,Project_Register!$U$16-J44)*Assumptions!$C$134+MAX(0,Project_Register!$V$16-J57)*Assumptions!$C$135-(Project_Register!$F$16-J96))))</f>
        <v>0</v>
      </c>
      <c r="K148" s="67" t="n">
        <f aca="false">IF(K$5="A",Inputs_Actuals!K177,IF(Assumptions!K$201&lt;Project_Register!$I$16,0,MAX(0,MAX(0,Project_Register!$U$16-K44)*Assumptions!$C$134+MAX(0,Project_Register!$V$16-K57)*Assumptions!$C$135-(Project_Register!$F$16-K96))))</f>
        <v>0</v>
      </c>
      <c r="L148" s="67" t="n">
        <f aca="false">IF(L$5="A",Inputs_Actuals!L177,IF(Assumptions!L$201&lt;Project_Register!$I$16,0,MAX(0,MAX(0,Project_Register!$U$16-L44)*Assumptions!$C$134+MAX(0,Project_Register!$V$16-L57)*Assumptions!$C$135-(Project_Register!$F$16-L96))))</f>
        <v>0</v>
      </c>
      <c r="M148" s="67" t="n">
        <f aca="false">IF(M$5="A",Inputs_Actuals!M177,IF(Assumptions!M$201&lt;Project_Register!$I$16,0,MAX(0,MAX(0,Project_Register!$U$16-M44)*Assumptions!$C$134+MAX(0,Project_Register!$V$16-M57)*Assumptions!$C$135-(Project_Register!$F$16-M96))))</f>
        <v>0</v>
      </c>
      <c r="N148" s="67" t="n">
        <f aca="false">IF(N$5="A",Inputs_Actuals!N177,IF(Assumptions!N$201&lt;Project_Register!$I$16,0,MAX(0,MAX(0,Project_Register!$U$16-N44)*Assumptions!$C$134+MAX(0,Project_Register!$V$16-N57)*Assumptions!$C$135-(Project_Register!$F$16-N96))))</f>
        <v>0</v>
      </c>
      <c r="O148" s="67" t="n">
        <f aca="false">IF(O$5="A",Inputs_Actuals!O177,IF(Assumptions!O$201&lt;Project_Register!$I$16,0,MAX(0,MAX(0,Project_Register!$U$16-O44)*Assumptions!$C$134+MAX(0,Project_Register!$V$16-O57)*Assumptions!$C$135-(Project_Register!$F$16-O96))))</f>
        <v>0</v>
      </c>
      <c r="P148" s="67" t="n">
        <f aca="false">IF(P$5="A",Inputs_Actuals!P177,IF(Assumptions!P$201&lt;Project_Register!$I$16,0,MAX(0,MAX(0,Project_Register!$U$16-P44)*Assumptions!$C$134+MAX(0,Project_Register!$V$16-P57)*Assumptions!$C$135-(Project_Register!$F$16-P96))))</f>
        <v>0</v>
      </c>
      <c r="Q148" s="67" t="n">
        <f aca="false">IF(Q$5="A",Inputs_Actuals!Q177,IF(Assumptions!Q$201&lt;Project_Register!$I$16,0,MAX(0,MAX(0,Project_Register!$U$16-Q44)*Assumptions!$C$134+MAX(0,Project_Register!$V$16-Q57)*Assumptions!$C$135-(Project_Register!$F$16-Q96))))</f>
        <v>0</v>
      </c>
      <c r="R148" s="67" t="n">
        <f aca="false">IF(R$5="A",Inputs_Actuals!R177,IF(Assumptions!R$201&lt;Project_Register!$I$16,0,MAX(0,MAX(0,Project_Register!$U$16-R44)*Assumptions!$C$134+MAX(0,Project_Register!$V$16-R57)*Assumptions!$C$135-(Project_Register!$F$16-R96))))</f>
        <v>0</v>
      </c>
      <c r="S148" s="67" t="n">
        <f aca="false">IF(S$5="A",Inputs_Actuals!S177,IF(Assumptions!S$201&lt;Project_Register!$I$16,0,MAX(0,MAX(0,Project_Register!$U$16-S44)*Assumptions!$C$134+MAX(0,Project_Register!$V$16-S57)*Assumptions!$C$135-(Project_Register!$F$16-S96))))</f>
        <v>0</v>
      </c>
      <c r="T148" s="67" t="n">
        <f aca="false">IF(T$5="A",Inputs_Actuals!T177,IF(Assumptions!T$201&lt;Project_Register!$I$16,0,MAX(0,MAX(0,Project_Register!$U$16-T44)*Assumptions!$C$134+MAX(0,Project_Register!$V$16-T57)*Assumptions!$C$135-(Project_Register!$F$16-T96))))</f>
        <v>0</v>
      </c>
      <c r="U148" s="67" t="n">
        <f aca="false">IF(U$5="A",Inputs_Actuals!U177,IF(Assumptions!U$201&lt;Project_Register!$I$16,0,MAX(0,MAX(0,Project_Register!$U$16-U44)*Assumptions!$C$134+MAX(0,Project_Register!$V$16-U57)*Assumptions!$C$135-(Project_Register!$F$16-U96))))</f>
        <v>0</v>
      </c>
      <c r="V148" s="67" t="n">
        <f aca="false">IF(V$5="A",Inputs_Actuals!V177,IF(Assumptions!V$201&lt;Project_Register!$I$16,0,MAX(0,MAX(0,Project_Register!$U$16-V44)*Assumptions!$C$134+MAX(0,Project_Register!$V$16-V57)*Assumptions!$C$135-(Project_Register!$F$16-V96))))</f>
        <v>0</v>
      </c>
      <c r="W148" s="67" t="n">
        <f aca="false">IF(W$5="A",Inputs_Actuals!W177,IF(Assumptions!W$201&lt;Project_Register!$I$16,0,MAX(0,MAX(0,Project_Register!$U$16-W44)*Assumptions!$C$134+MAX(0,Project_Register!$V$16-W57)*Assumptions!$C$135-(Project_Register!$F$16-W96))))</f>
        <v>0</v>
      </c>
      <c r="X148" s="67" t="n">
        <f aca="false">IF(X$5="A",Inputs_Actuals!X177,IF(Assumptions!X$201&lt;Project_Register!$I$16,0,MAX(0,MAX(0,Project_Register!$U$16-X44)*Assumptions!$C$134+MAX(0,Project_Register!$V$16-X57)*Assumptions!$C$135-(Project_Register!$F$16-X96))))</f>
        <v>0</v>
      </c>
      <c r="Y148" s="67" t="n">
        <f aca="false">IF(Y$5="A",Inputs_Actuals!Y177,IF(Assumptions!Y$201&lt;Project_Register!$I$16,0,MAX(0,MAX(0,Project_Register!$U$16-Y44)*Assumptions!$C$134+MAX(0,Project_Register!$V$16-Y57)*Assumptions!$C$135-(Project_Register!$F$16-Y96))))</f>
        <v>0</v>
      </c>
      <c r="Z148" s="67" t="n">
        <f aca="false">IF(Z$5="A",Inputs_Actuals!Z177,IF(Assumptions!Z$201&lt;Project_Register!$I$16,0,MAX(0,MAX(0,Project_Register!$U$16-Z44)*Assumptions!$C$134+MAX(0,Project_Register!$V$16-Z57)*Assumptions!$C$135-(Project_Register!$F$16-Z96))))</f>
        <v>0</v>
      </c>
      <c r="AA148" s="67" t="n">
        <f aca="false">IF(AA$5="A",Inputs_Actuals!AA177,IF(Assumptions!AA$201&lt;Project_Register!$I$16,0,MAX(0,MAX(0,Project_Register!$U$16-AA44)*Assumptions!$C$134+MAX(0,Project_Register!$V$16-AA57)*Assumptions!$C$135-(Project_Register!$F$16-AA96))))</f>
        <v>0</v>
      </c>
      <c r="AB148" s="67" t="n">
        <f aca="false">IF(AB$5="A",Inputs_Actuals!AB177,IF(Assumptions!AB$201&lt;Project_Register!$I$16,0,MAX(0,MAX(0,Project_Register!$U$16-AB44)*Assumptions!$C$134+MAX(0,Project_Register!$V$16-AB57)*Assumptions!$C$135-(Project_Register!$F$16-AB96))))</f>
        <v>0</v>
      </c>
    </row>
    <row r="149" customFormat="false" ht="15" hidden="false" customHeight="false" outlineLevel="0" collapsed="false">
      <c r="A149" s="27" t="s">
        <v>950</v>
      </c>
      <c r="B149" s="63"/>
      <c r="C149" s="66" t="n">
        <f aca="false">P149</f>
        <v>0</v>
      </c>
      <c r="D149" s="66" t="n">
        <f aca="false">AB149</f>
        <v>0</v>
      </c>
      <c r="E149" s="67" t="n">
        <f aca="false">IF(E$5="A",Inputs_Actuals!E180,IF(Assumptions!E$201&lt;Project_Register!$I$17,0,MAX(0,MAX(0,Project_Register!$U$17-E45)*Assumptions!$C$134+MAX(0,Project_Register!$V$17-E58)*Assumptions!$C$135-(Project_Register!$F$17-E97))))</f>
        <v>0</v>
      </c>
      <c r="F149" s="67" t="n">
        <f aca="false">IF(F$5="A",Inputs_Actuals!F180,IF(Assumptions!F$201&lt;Project_Register!$I$17,0,MAX(0,MAX(0,Project_Register!$U$17-F45)*Assumptions!$C$134+MAX(0,Project_Register!$V$17-F58)*Assumptions!$C$135-(Project_Register!$F$17-F97))))</f>
        <v>0</v>
      </c>
      <c r="G149" s="67" t="n">
        <f aca="false">IF(G$5="A",Inputs_Actuals!G180,IF(Assumptions!G$201&lt;Project_Register!$I$17,0,MAX(0,MAX(0,Project_Register!$U$17-G45)*Assumptions!$C$134+MAX(0,Project_Register!$V$17-G58)*Assumptions!$C$135-(Project_Register!$F$17-G97))))</f>
        <v>0</v>
      </c>
      <c r="H149" s="67" t="n">
        <f aca="false">IF(H$5="A",Inputs_Actuals!H180,IF(Assumptions!H$201&lt;Project_Register!$I$17,0,MAX(0,MAX(0,Project_Register!$U$17-H45)*Assumptions!$C$134+MAX(0,Project_Register!$V$17-H58)*Assumptions!$C$135-(Project_Register!$F$17-H97))))</f>
        <v>0</v>
      </c>
      <c r="I149" s="67" t="n">
        <f aca="false">IF(I$5="A",Inputs_Actuals!I180,IF(Assumptions!I$201&lt;Project_Register!$I$17,0,MAX(0,MAX(0,Project_Register!$U$17-I45)*Assumptions!$C$134+MAX(0,Project_Register!$V$17-I58)*Assumptions!$C$135-(Project_Register!$F$17-I97))))</f>
        <v>0</v>
      </c>
      <c r="J149" s="67" t="n">
        <f aca="false">IF(J$5="A",Inputs_Actuals!J180,IF(Assumptions!J$201&lt;Project_Register!$I$17,0,MAX(0,MAX(0,Project_Register!$U$17-J45)*Assumptions!$C$134+MAX(0,Project_Register!$V$17-J58)*Assumptions!$C$135-(Project_Register!$F$17-J97))))</f>
        <v>0</v>
      </c>
      <c r="K149" s="67" t="n">
        <f aca="false">IF(K$5="A",Inputs_Actuals!K180,IF(Assumptions!K$201&lt;Project_Register!$I$17,0,MAX(0,MAX(0,Project_Register!$U$17-K45)*Assumptions!$C$134+MAX(0,Project_Register!$V$17-K58)*Assumptions!$C$135-(Project_Register!$F$17-K97))))</f>
        <v>0</v>
      </c>
      <c r="L149" s="67" t="n">
        <f aca="false">IF(L$5="A",Inputs_Actuals!L180,IF(Assumptions!L$201&lt;Project_Register!$I$17,0,MAX(0,MAX(0,Project_Register!$U$17-L45)*Assumptions!$C$134+MAX(0,Project_Register!$V$17-L58)*Assumptions!$C$135-(Project_Register!$F$17-L97))))</f>
        <v>0</v>
      </c>
      <c r="M149" s="67" t="n">
        <f aca="false">IF(M$5="A",Inputs_Actuals!M180,IF(Assumptions!M$201&lt;Project_Register!$I$17,0,MAX(0,MAX(0,Project_Register!$U$17-M45)*Assumptions!$C$134+MAX(0,Project_Register!$V$17-M58)*Assumptions!$C$135-(Project_Register!$F$17-M97))))</f>
        <v>0</v>
      </c>
      <c r="N149" s="67" t="n">
        <f aca="false">IF(N$5="A",Inputs_Actuals!N180,IF(Assumptions!N$201&lt;Project_Register!$I$17,0,MAX(0,MAX(0,Project_Register!$U$17-N45)*Assumptions!$C$134+MAX(0,Project_Register!$V$17-N58)*Assumptions!$C$135-(Project_Register!$F$17-N97))))</f>
        <v>0</v>
      </c>
      <c r="O149" s="67" t="n">
        <f aca="false">IF(O$5="A",Inputs_Actuals!O180,IF(Assumptions!O$201&lt;Project_Register!$I$17,0,MAX(0,MAX(0,Project_Register!$U$17-O45)*Assumptions!$C$134+MAX(0,Project_Register!$V$17-O58)*Assumptions!$C$135-(Project_Register!$F$17-O97))))</f>
        <v>0</v>
      </c>
      <c r="P149" s="67" t="n">
        <f aca="false">IF(P$5="A",Inputs_Actuals!P180,IF(Assumptions!P$201&lt;Project_Register!$I$17,0,MAX(0,MAX(0,Project_Register!$U$17-P45)*Assumptions!$C$134+MAX(0,Project_Register!$V$17-P58)*Assumptions!$C$135-(Project_Register!$F$17-P97))))</f>
        <v>0</v>
      </c>
      <c r="Q149" s="67" t="n">
        <f aca="false">IF(Q$5="A",Inputs_Actuals!Q180,IF(Assumptions!Q$201&lt;Project_Register!$I$17,0,MAX(0,MAX(0,Project_Register!$U$17-Q45)*Assumptions!$C$134+MAX(0,Project_Register!$V$17-Q58)*Assumptions!$C$135-(Project_Register!$F$17-Q97))))</f>
        <v>0</v>
      </c>
      <c r="R149" s="67" t="n">
        <f aca="false">IF(R$5="A",Inputs_Actuals!R180,IF(Assumptions!R$201&lt;Project_Register!$I$17,0,MAX(0,MAX(0,Project_Register!$U$17-R45)*Assumptions!$C$134+MAX(0,Project_Register!$V$17-R58)*Assumptions!$C$135-(Project_Register!$F$17-R97))))</f>
        <v>0</v>
      </c>
      <c r="S149" s="67" t="n">
        <f aca="false">IF(S$5="A",Inputs_Actuals!S180,IF(Assumptions!S$201&lt;Project_Register!$I$17,0,MAX(0,MAX(0,Project_Register!$U$17-S45)*Assumptions!$C$134+MAX(0,Project_Register!$V$17-S58)*Assumptions!$C$135-(Project_Register!$F$17-S97))))</f>
        <v>0</v>
      </c>
      <c r="T149" s="67" t="n">
        <f aca="false">IF(T$5="A",Inputs_Actuals!T180,IF(Assumptions!T$201&lt;Project_Register!$I$17,0,MAX(0,MAX(0,Project_Register!$U$17-T45)*Assumptions!$C$134+MAX(0,Project_Register!$V$17-T58)*Assumptions!$C$135-(Project_Register!$F$17-T97))))</f>
        <v>0</v>
      </c>
      <c r="U149" s="67" t="n">
        <f aca="false">IF(U$5="A",Inputs_Actuals!U180,IF(Assumptions!U$201&lt;Project_Register!$I$17,0,MAX(0,MAX(0,Project_Register!$U$17-U45)*Assumptions!$C$134+MAX(0,Project_Register!$V$17-U58)*Assumptions!$C$135-(Project_Register!$F$17-U97))))</f>
        <v>0</v>
      </c>
      <c r="V149" s="67" t="n">
        <f aca="false">IF(V$5="A",Inputs_Actuals!V180,IF(Assumptions!V$201&lt;Project_Register!$I$17,0,MAX(0,MAX(0,Project_Register!$U$17-V45)*Assumptions!$C$134+MAX(0,Project_Register!$V$17-V58)*Assumptions!$C$135-(Project_Register!$F$17-V97))))</f>
        <v>0</v>
      </c>
      <c r="W149" s="67" t="n">
        <f aca="false">IF(W$5="A",Inputs_Actuals!W180,IF(Assumptions!W$201&lt;Project_Register!$I$17,0,MAX(0,MAX(0,Project_Register!$U$17-W45)*Assumptions!$C$134+MAX(0,Project_Register!$V$17-W58)*Assumptions!$C$135-(Project_Register!$F$17-W97))))</f>
        <v>0</v>
      </c>
      <c r="X149" s="67" t="n">
        <f aca="false">IF(X$5="A",Inputs_Actuals!X180,IF(Assumptions!X$201&lt;Project_Register!$I$17,0,MAX(0,MAX(0,Project_Register!$U$17-X45)*Assumptions!$C$134+MAX(0,Project_Register!$V$17-X58)*Assumptions!$C$135-(Project_Register!$F$17-X97))))</f>
        <v>0</v>
      </c>
      <c r="Y149" s="67" t="n">
        <f aca="false">IF(Y$5="A",Inputs_Actuals!Y180,IF(Assumptions!Y$201&lt;Project_Register!$I$17,0,MAX(0,MAX(0,Project_Register!$U$17-Y45)*Assumptions!$C$134+MAX(0,Project_Register!$V$17-Y58)*Assumptions!$C$135-(Project_Register!$F$17-Y97))))</f>
        <v>0</v>
      </c>
      <c r="Z149" s="67" t="n">
        <f aca="false">IF(Z$5="A",Inputs_Actuals!Z180,IF(Assumptions!Z$201&lt;Project_Register!$I$17,0,MAX(0,MAX(0,Project_Register!$U$17-Z45)*Assumptions!$C$134+MAX(0,Project_Register!$V$17-Z58)*Assumptions!$C$135-(Project_Register!$F$17-Z97))))</f>
        <v>0</v>
      </c>
      <c r="AA149" s="67" t="n">
        <f aca="false">IF(AA$5="A",Inputs_Actuals!AA180,IF(Assumptions!AA$201&lt;Project_Register!$I$17,0,MAX(0,MAX(0,Project_Register!$U$17-AA45)*Assumptions!$C$134+MAX(0,Project_Register!$V$17-AA58)*Assumptions!$C$135-(Project_Register!$F$17-AA97))))</f>
        <v>0</v>
      </c>
      <c r="AB149" s="67" t="n">
        <f aca="false">IF(AB$5="A",Inputs_Actuals!AB180,IF(Assumptions!AB$201&lt;Project_Register!$I$17,0,MAX(0,MAX(0,Project_Register!$U$17-AB45)*Assumptions!$C$134+MAX(0,Project_Register!$V$17-AB58)*Assumptions!$C$135-(Project_Register!$F$17-AB97))))</f>
        <v>0</v>
      </c>
    </row>
    <row r="150" customFormat="false" ht="15" hidden="false" customHeight="false" outlineLevel="0" collapsed="false">
      <c r="A150" s="27" t="s">
        <v>951</v>
      </c>
      <c r="B150" s="63"/>
      <c r="C150" s="66" t="n">
        <f aca="false">P150</f>
        <v>0</v>
      </c>
      <c r="D150" s="66" t="n">
        <f aca="false">AB150</f>
        <v>0</v>
      </c>
      <c r="E150" s="67" t="n">
        <f aca="false">IF(E$5="A",Inputs_Actuals!E183,IF(Assumptions!E$201&lt;Project_Register!$I$18,0,MAX(0,MAX(0,Project_Register!$U$18-E46)*Assumptions!$C$134+MAX(0,Project_Register!$V$18-E59)*Assumptions!$C$135-(Project_Register!$F$18-E98))))</f>
        <v>0</v>
      </c>
      <c r="F150" s="67" t="n">
        <f aca="false">IF(F$5="A",Inputs_Actuals!F183,IF(Assumptions!F$201&lt;Project_Register!$I$18,0,MAX(0,MAX(0,Project_Register!$U$18-F46)*Assumptions!$C$134+MAX(0,Project_Register!$V$18-F59)*Assumptions!$C$135-(Project_Register!$F$18-F98))))</f>
        <v>0</v>
      </c>
      <c r="G150" s="67" t="n">
        <f aca="false">IF(G$5="A",Inputs_Actuals!G183,IF(Assumptions!G$201&lt;Project_Register!$I$18,0,MAX(0,MAX(0,Project_Register!$U$18-G46)*Assumptions!$C$134+MAX(0,Project_Register!$V$18-G59)*Assumptions!$C$135-(Project_Register!$F$18-G98))))</f>
        <v>0</v>
      </c>
      <c r="H150" s="67" t="n">
        <f aca="false">IF(H$5="A",Inputs_Actuals!H183,IF(Assumptions!H$201&lt;Project_Register!$I$18,0,MAX(0,MAX(0,Project_Register!$U$18-H46)*Assumptions!$C$134+MAX(0,Project_Register!$V$18-H59)*Assumptions!$C$135-(Project_Register!$F$18-H98))))</f>
        <v>0</v>
      </c>
      <c r="I150" s="67" t="n">
        <f aca="false">IF(I$5="A",Inputs_Actuals!I183,IF(Assumptions!I$201&lt;Project_Register!$I$18,0,MAX(0,MAX(0,Project_Register!$U$18-I46)*Assumptions!$C$134+MAX(0,Project_Register!$V$18-I59)*Assumptions!$C$135-(Project_Register!$F$18-I98))))</f>
        <v>0</v>
      </c>
      <c r="J150" s="67" t="n">
        <f aca="false">IF(J$5="A",Inputs_Actuals!J183,IF(Assumptions!J$201&lt;Project_Register!$I$18,0,MAX(0,MAX(0,Project_Register!$U$18-J46)*Assumptions!$C$134+MAX(0,Project_Register!$V$18-J59)*Assumptions!$C$135-(Project_Register!$F$18-J98))))</f>
        <v>0</v>
      </c>
      <c r="K150" s="67" t="n">
        <f aca="false">IF(K$5="A",Inputs_Actuals!K183,IF(Assumptions!K$201&lt;Project_Register!$I$18,0,MAX(0,MAX(0,Project_Register!$U$18-K46)*Assumptions!$C$134+MAX(0,Project_Register!$V$18-K59)*Assumptions!$C$135-(Project_Register!$F$18-K98))))</f>
        <v>0</v>
      </c>
      <c r="L150" s="67" t="n">
        <f aca="false">IF(L$5="A",Inputs_Actuals!L183,IF(Assumptions!L$201&lt;Project_Register!$I$18,0,MAX(0,MAX(0,Project_Register!$U$18-L46)*Assumptions!$C$134+MAX(0,Project_Register!$V$18-L59)*Assumptions!$C$135-(Project_Register!$F$18-L98))))</f>
        <v>0</v>
      </c>
      <c r="M150" s="67" t="n">
        <f aca="false">IF(M$5="A",Inputs_Actuals!M183,IF(Assumptions!M$201&lt;Project_Register!$I$18,0,MAX(0,MAX(0,Project_Register!$U$18-M46)*Assumptions!$C$134+MAX(0,Project_Register!$V$18-M59)*Assumptions!$C$135-(Project_Register!$F$18-M98))))</f>
        <v>0</v>
      </c>
      <c r="N150" s="67" t="n">
        <f aca="false">IF(N$5="A",Inputs_Actuals!N183,IF(Assumptions!N$201&lt;Project_Register!$I$18,0,MAX(0,MAX(0,Project_Register!$U$18-N46)*Assumptions!$C$134+MAX(0,Project_Register!$V$18-N59)*Assumptions!$C$135-(Project_Register!$F$18-N98))))</f>
        <v>0</v>
      </c>
      <c r="O150" s="67" t="n">
        <f aca="false">IF(O$5="A",Inputs_Actuals!O183,IF(Assumptions!O$201&lt;Project_Register!$I$18,0,MAX(0,MAX(0,Project_Register!$U$18-O46)*Assumptions!$C$134+MAX(0,Project_Register!$V$18-O59)*Assumptions!$C$135-(Project_Register!$F$18-O98))))</f>
        <v>0</v>
      </c>
      <c r="P150" s="67" t="n">
        <f aca="false">IF(P$5="A",Inputs_Actuals!P183,IF(Assumptions!P$201&lt;Project_Register!$I$18,0,MAX(0,MAX(0,Project_Register!$U$18-P46)*Assumptions!$C$134+MAX(0,Project_Register!$V$18-P59)*Assumptions!$C$135-(Project_Register!$F$18-P98))))</f>
        <v>0</v>
      </c>
      <c r="Q150" s="67" t="n">
        <f aca="false">IF(Q$5="A",Inputs_Actuals!Q183,IF(Assumptions!Q$201&lt;Project_Register!$I$18,0,MAX(0,MAX(0,Project_Register!$U$18-Q46)*Assumptions!$C$134+MAX(0,Project_Register!$V$18-Q59)*Assumptions!$C$135-(Project_Register!$F$18-Q98))))</f>
        <v>0</v>
      </c>
      <c r="R150" s="67" t="n">
        <f aca="false">IF(R$5="A",Inputs_Actuals!R183,IF(Assumptions!R$201&lt;Project_Register!$I$18,0,MAX(0,MAX(0,Project_Register!$U$18-R46)*Assumptions!$C$134+MAX(0,Project_Register!$V$18-R59)*Assumptions!$C$135-(Project_Register!$F$18-R98))))</f>
        <v>0</v>
      </c>
      <c r="S150" s="67" t="n">
        <f aca="false">IF(S$5="A",Inputs_Actuals!S183,IF(Assumptions!S$201&lt;Project_Register!$I$18,0,MAX(0,MAX(0,Project_Register!$U$18-S46)*Assumptions!$C$134+MAX(0,Project_Register!$V$18-S59)*Assumptions!$C$135-(Project_Register!$F$18-S98))))</f>
        <v>0</v>
      </c>
      <c r="T150" s="67" t="n">
        <f aca="false">IF(T$5="A",Inputs_Actuals!T183,IF(Assumptions!T$201&lt;Project_Register!$I$18,0,MAX(0,MAX(0,Project_Register!$U$18-T46)*Assumptions!$C$134+MAX(0,Project_Register!$V$18-T59)*Assumptions!$C$135-(Project_Register!$F$18-T98))))</f>
        <v>0</v>
      </c>
      <c r="U150" s="67" t="n">
        <f aca="false">IF(U$5="A",Inputs_Actuals!U183,IF(Assumptions!U$201&lt;Project_Register!$I$18,0,MAX(0,MAX(0,Project_Register!$U$18-U46)*Assumptions!$C$134+MAX(0,Project_Register!$V$18-U59)*Assumptions!$C$135-(Project_Register!$F$18-U98))))</f>
        <v>0</v>
      </c>
      <c r="V150" s="67" t="n">
        <f aca="false">IF(V$5="A",Inputs_Actuals!V183,IF(Assumptions!V$201&lt;Project_Register!$I$18,0,MAX(0,MAX(0,Project_Register!$U$18-V46)*Assumptions!$C$134+MAX(0,Project_Register!$V$18-V59)*Assumptions!$C$135-(Project_Register!$F$18-V98))))</f>
        <v>0</v>
      </c>
      <c r="W150" s="67" t="n">
        <f aca="false">IF(W$5="A",Inputs_Actuals!W183,IF(Assumptions!W$201&lt;Project_Register!$I$18,0,MAX(0,MAX(0,Project_Register!$U$18-W46)*Assumptions!$C$134+MAX(0,Project_Register!$V$18-W59)*Assumptions!$C$135-(Project_Register!$F$18-W98))))</f>
        <v>0</v>
      </c>
      <c r="X150" s="67" t="n">
        <f aca="false">IF(X$5="A",Inputs_Actuals!X183,IF(Assumptions!X$201&lt;Project_Register!$I$18,0,MAX(0,MAX(0,Project_Register!$U$18-X46)*Assumptions!$C$134+MAX(0,Project_Register!$V$18-X59)*Assumptions!$C$135-(Project_Register!$F$18-X98))))</f>
        <v>0</v>
      </c>
      <c r="Y150" s="67" t="n">
        <f aca="false">IF(Y$5="A",Inputs_Actuals!Y183,IF(Assumptions!Y$201&lt;Project_Register!$I$18,0,MAX(0,MAX(0,Project_Register!$U$18-Y46)*Assumptions!$C$134+MAX(0,Project_Register!$V$18-Y59)*Assumptions!$C$135-(Project_Register!$F$18-Y98))))</f>
        <v>0</v>
      </c>
      <c r="Z150" s="67" t="n">
        <f aca="false">IF(Z$5="A",Inputs_Actuals!Z183,IF(Assumptions!Z$201&lt;Project_Register!$I$18,0,MAX(0,MAX(0,Project_Register!$U$18-Z46)*Assumptions!$C$134+MAX(0,Project_Register!$V$18-Z59)*Assumptions!$C$135-(Project_Register!$F$18-Z98))))</f>
        <v>0</v>
      </c>
      <c r="AA150" s="67" t="n">
        <f aca="false">IF(AA$5="A",Inputs_Actuals!AA183,IF(Assumptions!AA$201&lt;Project_Register!$I$18,0,MAX(0,MAX(0,Project_Register!$U$18-AA46)*Assumptions!$C$134+MAX(0,Project_Register!$V$18-AA59)*Assumptions!$C$135-(Project_Register!$F$18-AA98))))</f>
        <v>0</v>
      </c>
      <c r="AB150" s="67" t="n">
        <f aca="false">IF(AB$5="A",Inputs_Actuals!AB183,IF(Assumptions!AB$201&lt;Project_Register!$I$18,0,MAX(0,MAX(0,Project_Register!$U$18-AB46)*Assumptions!$C$134+MAX(0,Project_Register!$V$18-AB59)*Assumptions!$C$135-(Project_Register!$F$18-AB98))))</f>
        <v>0</v>
      </c>
    </row>
    <row r="151" customFormat="false" ht="15" hidden="false" customHeight="false" outlineLevel="0" collapsed="false">
      <c r="A151" s="21" t="s">
        <v>961</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row>
    <row r="152" customFormat="false" ht="15" hidden="false" customHeight="false" outlineLevel="0" collapsed="false">
      <c r="A152" s="27" t="s">
        <v>962</v>
      </c>
      <c r="B152" s="63"/>
      <c r="C152" s="66" t="n">
        <f aca="false">SUM(E152:P152)</f>
        <v>10310</v>
      </c>
      <c r="D152" s="66" t="n">
        <f aca="false">SUM(Q152:AB152)</f>
        <v>220</v>
      </c>
      <c r="E152" s="67" t="n">
        <f aca="false">SUM(Projects!E9:E20)</f>
        <v>660</v>
      </c>
      <c r="F152" s="67" t="n">
        <f aca="false">SUM(Projects!F9:F20)</f>
        <v>882</v>
      </c>
      <c r="G152" s="67" t="n">
        <f aca="false">SUM(Projects!G9:G20)</f>
        <v>1134</v>
      </c>
      <c r="H152" s="67" t="n">
        <f aca="false">SUM(Projects!H9:H20)</f>
        <v>1119</v>
      </c>
      <c r="I152" s="67" t="n">
        <f aca="false">SUM(Projects!I9:I20)</f>
        <v>1013</v>
      </c>
      <c r="J152" s="67" t="n">
        <f aca="false">SUM(Projects!J9:J20)</f>
        <v>983</v>
      </c>
      <c r="K152" s="67" t="n">
        <f aca="false">SUM(Projects!K9:K20)</f>
        <v>915</v>
      </c>
      <c r="L152" s="67" t="n">
        <f aca="false">SUM(Projects!L9:L20)</f>
        <v>506</v>
      </c>
      <c r="M152" s="67" t="n">
        <f aca="false">SUM(Projects!M9:M20)</f>
        <v>1239.25</v>
      </c>
      <c r="N152" s="67" t="n">
        <f aca="false">SUM(Projects!N9:N20)</f>
        <v>701.25</v>
      </c>
      <c r="O152" s="67" t="n">
        <f aca="false">SUM(Projects!O9:O20)</f>
        <v>701.25</v>
      </c>
      <c r="P152" s="67" t="n">
        <f aca="false">SUM(Projects!P9:P20)</f>
        <v>456.25</v>
      </c>
      <c r="Q152" s="67" t="n">
        <f aca="false">SUM(Projects!Q9:Q20)</f>
        <v>220</v>
      </c>
      <c r="R152" s="67" t="n">
        <f aca="false">SUM(Projects!R9:R20)</f>
        <v>0</v>
      </c>
      <c r="S152" s="67" t="n">
        <f aca="false">SUM(Projects!S9:S20)</f>
        <v>0</v>
      </c>
      <c r="T152" s="67" t="n">
        <f aca="false">SUM(Projects!T9:T20)</f>
        <v>0</v>
      </c>
      <c r="U152" s="67" t="n">
        <f aca="false">SUM(Projects!U9:U20)</f>
        <v>0</v>
      </c>
      <c r="V152" s="67" t="n">
        <f aca="false">SUM(Projects!V9:V20)</f>
        <v>0</v>
      </c>
      <c r="W152" s="67" t="n">
        <f aca="false">SUM(Projects!W9:W20)</f>
        <v>0</v>
      </c>
      <c r="X152" s="67" t="n">
        <f aca="false">SUM(Projects!X9:X20)</f>
        <v>0</v>
      </c>
      <c r="Y152" s="67" t="n">
        <f aca="false">SUM(Projects!Y9:Y20)</f>
        <v>0</v>
      </c>
      <c r="Z152" s="67" t="n">
        <f aca="false">SUM(Projects!Z9:Z20)</f>
        <v>0</v>
      </c>
      <c r="AA152" s="67" t="n">
        <f aca="false">SUM(Projects!AA9:AA20)</f>
        <v>0</v>
      </c>
      <c r="AB152" s="67" t="n">
        <f aca="false">SUM(Projects!AB9:AB20)</f>
        <v>0</v>
      </c>
    </row>
    <row r="153" customFormat="false" ht="15" hidden="false" customHeight="false" outlineLevel="0" collapsed="false">
      <c r="A153" s="27" t="s">
        <v>963</v>
      </c>
      <c r="B153" s="63"/>
      <c r="C153" s="66" t="n">
        <f aca="false">SUM(E153:P153)</f>
        <v>1350</v>
      </c>
      <c r="D153" s="66" t="n">
        <f aca="false">SUM(Q153:AB153)</f>
        <v>0</v>
      </c>
      <c r="E153" s="67" t="n">
        <f aca="false">SUM(Projects!E22:E33)</f>
        <v>20</v>
      </c>
      <c r="F153" s="67" t="n">
        <f aca="false">SUM(Projects!F22:F33)</f>
        <v>40</v>
      </c>
      <c r="G153" s="67" t="n">
        <f aca="false">SUM(Projects!G22:G33)</f>
        <v>80</v>
      </c>
      <c r="H153" s="67" t="n">
        <f aca="false">SUM(Projects!H22:H33)</f>
        <v>150</v>
      </c>
      <c r="I153" s="67" t="n">
        <f aca="false">SUM(Projects!I22:I33)</f>
        <v>180</v>
      </c>
      <c r="J153" s="67" t="n">
        <f aca="false">SUM(Projects!J22:J33)</f>
        <v>200</v>
      </c>
      <c r="K153" s="67" t="n">
        <f aca="false">SUM(Projects!K22:K33)</f>
        <v>190</v>
      </c>
      <c r="L153" s="67" t="n">
        <f aca="false">SUM(Projects!L22:L33)</f>
        <v>120</v>
      </c>
      <c r="M153" s="67" t="n">
        <f aca="false">SUM(Projects!M22:M33)</f>
        <v>123.333333333333</v>
      </c>
      <c r="N153" s="67" t="n">
        <f aca="false">SUM(Projects!N22:N33)</f>
        <v>123.333333333333</v>
      </c>
      <c r="O153" s="67" t="n">
        <f aca="false">SUM(Projects!O22:O33)</f>
        <v>123.333333333333</v>
      </c>
      <c r="P153" s="67" t="n">
        <f aca="false">SUM(Projects!P22:P33)</f>
        <v>0</v>
      </c>
      <c r="Q153" s="67" t="n">
        <f aca="false">SUM(Projects!Q22:Q33)</f>
        <v>0</v>
      </c>
      <c r="R153" s="67" t="n">
        <f aca="false">SUM(Projects!R22:R33)</f>
        <v>0</v>
      </c>
      <c r="S153" s="67" t="n">
        <f aca="false">SUM(Projects!S22:S33)</f>
        <v>0</v>
      </c>
      <c r="T153" s="67" t="n">
        <f aca="false">SUM(Projects!T22:T33)</f>
        <v>0</v>
      </c>
      <c r="U153" s="67" t="n">
        <f aca="false">SUM(Projects!U22:U33)</f>
        <v>0</v>
      </c>
      <c r="V153" s="67" t="n">
        <f aca="false">SUM(Projects!V22:V33)</f>
        <v>0</v>
      </c>
      <c r="W153" s="67" t="n">
        <f aca="false">SUM(Projects!W22:W33)</f>
        <v>0</v>
      </c>
      <c r="X153" s="67" t="n">
        <f aca="false">SUM(Projects!X22:X33)</f>
        <v>0</v>
      </c>
      <c r="Y153" s="67" t="n">
        <f aca="false">SUM(Projects!Y22:Y33)</f>
        <v>0</v>
      </c>
      <c r="Z153" s="67" t="n">
        <f aca="false">SUM(Projects!Z22:Z33)</f>
        <v>0</v>
      </c>
      <c r="AA153" s="67" t="n">
        <f aca="false">SUM(Projects!AA22:AA33)</f>
        <v>0</v>
      </c>
      <c r="AB153" s="67" t="n">
        <f aca="false">SUM(Projects!AB22:AB33)</f>
        <v>0</v>
      </c>
    </row>
    <row r="154" customFormat="false" ht="15" hidden="false" customHeight="false" outlineLevel="0" collapsed="false">
      <c r="A154" s="27" t="s">
        <v>964</v>
      </c>
      <c r="B154" s="63"/>
      <c r="C154" s="66" t="n">
        <f aca="false">SUM(E154:P154)</f>
        <v>754992.2</v>
      </c>
      <c r="D154" s="66" t="n">
        <f aca="false">SUM(Q154:AB154)</f>
        <v>17600</v>
      </c>
      <c r="E154" s="67" t="n">
        <f aca="false">SUM(Projects!E74:E85)</f>
        <v>50552.08</v>
      </c>
      <c r="F154" s="67" t="n">
        <f aca="false">SUM(Projects!F74:F85)</f>
        <v>68641.43</v>
      </c>
      <c r="G154" s="67" t="n">
        <f aca="false">SUM(Projects!G74:G85)</f>
        <v>91670.16</v>
      </c>
      <c r="H154" s="67" t="n">
        <f aca="false">SUM(Projects!H74:H85)</f>
        <v>96051.3</v>
      </c>
      <c r="I154" s="67" t="n">
        <f aca="false">SUM(Projects!I74:I85)</f>
        <v>88649.11</v>
      </c>
      <c r="J154" s="67" t="n">
        <f aca="false">SUM(Projects!J74:J85)</f>
        <v>29853.61</v>
      </c>
      <c r="K154" s="67" t="n">
        <f aca="false">SUM(Projects!K74:K85)</f>
        <v>71123.71</v>
      </c>
      <c r="L154" s="67" t="n">
        <f aca="false">SUM(Projects!L74:L85)</f>
        <v>38771.77</v>
      </c>
      <c r="M154" s="67" t="n">
        <f aca="false">SUM(Projects!M74:M85)</f>
        <v>90081.7919047619</v>
      </c>
      <c r="N154" s="67" t="n">
        <f aca="false">SUM(Projects!N74:N85)</f>
        <v>48741.6190476191</v>
      </c>
      <c r="O154" s="67" t="n">
        <f aca="false">SUM(Projects!O74:O85)</f>
        <v>48741.6190476191</v>
      </c>
      <c r="P154" s="67" t="n">
        <f aca="false">SUM(Projects!P74:P85)</f>
        <v>32114</v>
      </c>
      <c r="Q154" s="67" t="n">
        <f aca="false">SUM(Projects!Q74:Q85)</f>
        <v>17600</v>
      </c>
      <c r="R154" s="67" t="n">
        <f aca="false">SUM(Projects!R74:R85)</f>
        <v>0</v>
      </c>
      <c r="S154" s="67" t="n">
        <f aca="false">SUM(Projects!S74:S85)</f>
        <v>0</v>
      </c>
      <c r="T154" s="67" t="n">
        <f aca="false">SUM(Projects!T74:T85)</f>
        <v>0</v>
      </c>
      <c r="U154" s="67" t="n">
        <f aca="false">SUM(Projects!U74:U85)</f>
        <v>0</v>
      </c>
      <c r="V154" s="67" t="n">
        <f aca="false">SUM(Projects!V74:V85)</f>
        <v>0</v>
      </c>
      <c r="W154" s="67" t="n">
        <f aca="false">SUM(Projects!W74:W85)</f>
        <v>0</v>
      </c>
      <c r="X154" s="67" t="n">
        <f aca="false">SUM(Projects!X74:X85)</f>
        <v>0</v>
      </c>
      <c r="Y154" s="67" t="n">
        <f aca="false">SUM(Projects!Y74:Y85)</f>
        <v>0</v>
      </c>
      <c r="Z154" s="67" t="n">
        <f aca="false">SUM(Projects!Z74:Z85)</f>
        <v>0</v>
      </c>
      <c r="AA154" s="67" t="n">
        <f aca="false">SUM(Projects!AA74:AA85)</f>
        <v>0</v>
      </c>
      <c r="AB154" s="67" t="n">
        <f aca="false">SUM(Projects!AB74:AB85)</f>
        <v>0</v>
      </c>
    </row>
    <row r="155" customFormat="false" ht="15" hidden="false" customHeight="false" outlineLevel="0" collapsed="false">
      <c r="A155" s="27" t="s">
        <v>965</v>
      </c>
      <c r="B155" s="63"/>
      <c r="C155" s="66" t="n">
        <f aca="false">SUM(E155:P155)</f>
        <v>712280</v>
      </c>
      <c r="D155" s="66" t="n">
        <f aca="false">SUM(Q155:AB155)</f>
        <v>26400</v>
      </c>
      <c r="E155" s="67" t="n">
        <f aca="false">SUM(Projects!E100:E111)</f>
        <v>53712</v>
      </c>
      <c r="F155" s="67" t="n">
        <f aca="false">SUM(Projects!F100:F111)</f>
        <v>45708</v>
      </c>
      <c r="G155" s="67" t="n">
        <f aca="false">SUM(Projects!G100:G111)</f>
        <v>75904</v>
      </c>
      <c r="H155" s="67" t="n">
        <f aca="false">SUM(Projects!H100:H111)</f>
        <v>116152</v>
      </c>
      <c r="I155" s="67" t="n">
        <f aca="false">SUM(Projects!I100:I111)</f>
        <v>58784</v>
      </c>
      <c r="J155" s="67" t="n">
        <f aca="false">SUM(Projects!J100:J111)</f>
        <v>64440</v>
      </c>
      <c r="K155" s="67" t="n">
        <f aca="false">SUM(Projects!K100:K111)</f>
        <v>53952</v>
      </c>
      <c r="L155" s="67" t="n">
        <f aca="false">SUM(Projects!L100:L111)</f>
        <v>43968</v>
      </c>
      <c r="M155" s="67" t="n">
        <f aca="false">SUM(Projects!M100:M111)</f>
        <v>73518</v>
      </c>
      <c r="N155" s="67" t="n">
        <f aca="false">SUM(Projects!N100:N111)</f>
        <v>14514</v>
      </c>
      <c r="O155" s="67" t="n">
        <f aca="false">SUM(Projects!O100:O111)</f>
        <v>97114</v>
      </c>
      <c r="P155" s="67" t="n">
        <f aca="false">SUM(Projects!P100:P111)</f>
        <v>14514</v>
      </c>
      <c r="Q155" s="67" t="n">
        <f aca="false">SUM(Projects!Q100:Q111)</f>
        <v>26400</v>
      </c>
      <c r="R155" s="67" t="n">
        <f aca="false">SUM(Projects!R100:R111)</f>
        <v>0</v>
      </c>
      <c r="S155" s="67" t="n">
        <f aca="false">SUM(Projects!S100:S111)</f>
        <v>0</v>
      </c>
      <c r="T155" s="67" t="n">
        <f aca="false">SUM(Projects!T100:T111)</f>
        <v>0</v>
      </c>
      <c r="U155" s="67" t="n">
        <f aca="false">SUM(Projects!U100:U111)</f>
        <v>0</v>
      </c>
      <c r="V155" s="67" t="n">
        <f aca="false">SUM(Projects!V100:V111)</f>
        <v>0</v>
      </c>
      <c r="W155" s="67" t="n">
        <f aca="false">SUM(Projects!W100:W111)</f>
        <v>0</v>
      </c>
      <c r="X155" s="67" t="n">
        <f aca="false">SUM(Projects!X100:X111)</f>
        <v>0</v>
      </c>
      <c r="Y155" s="67" t="n">
        <f aca="false">SUM(Projects!Y100:Y111)</f>
        <v>0</v>
      </c>
      <c r="Z155" s="67" t="n">
        <f aca="false">SUM(Projects!Z100:Z111)</f>
        <v>0</v>
      </c>
      <c r="AA155" s="67" t="n">
        <f aca="false">SUM(Projects!AA100:AA111)</f>
        <v>0</v>
      </c>
      <c r="AB155" s="67" t="n">
        <f aca="false">SUM(Projects!AB100:AB111)</f>
        <v>0</v>
      </c>
    </row>
    <row r="156" customFormat="false" ht="15" hidden="false" customHeight="false" outlineLevel="0" collapsed="false">
      <c r="A156" s="27" t="s">
        <v>476</v>
      </c>
      <c r="B156" s="63"/>
      <c r="C156" s="66" t="n">
        <f aca="false">P156</f>
        <v>0</v>
      </c>
      <c r="D156" s="66" t="n">
        <f aca="false">AB156</f>
        <v>0</v>
      </c>
      <c r="E156" s="67" t="n">
        <f aca="false">SUMIF(Projects!E126:E137,"&gt;0")</f>
        <v>37072.12</v>
      </c>
      <c r="F156" s="67" t="n">
        <f aca="false">SUMIF(Projects!F126:F137,"&gt;0")</f>
        <v>15447.78</v>
      </c>
      <c r="G156" s="67" t="n">
        <f aca="false">SUMIF(Projects!G126:G137,"&gt;0")</f>
        <v>20244.32</v>
      </c>
      <c r="H156" s="67" t="n">
        <f aca="false">SUMIF(Projects!H126:H137,"&gt;0")</f>
        <v>23998.23</v>
      </c>
      <c r="I156" s="67" t="n">
        <f aca="false">SUMIF(Projects!I126:I137,"&gt;0")</f>
        <v>3087.5</v>
      </c>
      <c r="J156" s="67" t="n">
        <f aca="false">SUMIF(Projects!J126:J137,"&gt;0")</f>
        <v>31482.01</v>
      </c>
      <c r="K156" s="67" t="n">
        <f aca="false">SUMIF(Projects!K126:K137,"&gt;0")</f>
        <v>12814.29</v>
      </c>
      <c r="L156" s="67" t="n">
        <f aca="false">SUMIF(Projects!L126:L137,"&gt;0")</f>
        <v>11219.03</v>
      </c>
      <c r="M156" s="67" t="n">
        <f aca="false">SUMIF(Projects!M126:M137,"&gt;0")</f>
        <v>8800</v>
      </c>
      <c r="N156" s="67" t="n">
        <f aca="false">SUMIF(Projects!N126:N137,"&gt;0")</f>
        <v>0</v>
      </c>
      <c r="O156" s="67" t="n">
        <f aca="false">SUMIF(Projects!O126:O137,"&gt;0")</f>
        <v>8799.99999999999</v>
      </c>
      <c r="P156" s="67" t="n">
        <f aca="false">SUMIF(Projects!P126:P137,"&gt;0")</f>
        <v>0</v>
      </c>
      <c r="Q156" s="67" t="n">
        <f aca="false">SUMIF(Projects!Q126:Q137,"&gt;0")</f>
        <v>0</v>
      </c>
      <c r="R156" s="67" t="n">
        <f aca="false">SUMIF(Projects!R126:R137,"&gt;0")</f>
        <v>0</v>
      </c>
      <c r="S156" s="67" t="n">
        <f aca="false">SUMIF(Projects!S126:S137,"&gt;0")</f>
        <v>0</v>
      </c>
      <c r="T156" s="67" t="n">
        <f aca="false">SUMIF(Projects!T126:T137,"&gt;0")</f>
        <v>0</v>
      </c>
      <c r="U156" s="67" t="n">
        <f aca="false">SUMIF(Projects!U126:U137,"&gt;0")</f>
        <v>0</v>
      </c>
      <c r="V156" s="67" t="n">
        <f aca="false">SUMIF(Projects!V126:V137,"&gt;0")</f>
        <v>0</v>
      </c>
      <c r="W156" s="67" t="n">
        <f aca="false">SUMIF(Projects!W126:W137,"&gt;0")</f>
        <v>0</v>
      </c>
      <c r="X156" s="67" t="n">
        <f aca="false">SUMIF(Projects!X126:X137,"&gt;0")</f>
        <v>0</v>
      </c>
      <c r="Y156" s="67" t="n">
        <f aca="false">SUMIF(Projects!Y126:Y137,"&gt;0")</f>
        <v>0</v>
      </c>
      <c r="Z156" s="67" t="n">
        <f aca="false">SUMIF(Projects!Z126:Z137,"&gt;0")</f>
        <v>0</v>
      </c>
      <c r="AA156" s="67" t="n">
        <f aca="false">SUMIF(Projects!AA126:AA137,"&gt;0")</f>
        <v>0</v>
      </c>
      <c r="AB156" s="67" t="n">
        <f aca="false">SUMIF(Projects!AB126:AB137,"&gt;0")</f>
        <v>0</v>
      </c>
    </row>
    <row r="157" customFormat="false" ht="15" hidden="false" customHeight="false" outlineLevel="0" collapsed="false">
      <c r="A157" s="27" t="s">
        <v>966</v>
      </c>
      <c r="B157" s="63"/>
      <c r="C157" s="66" t="n">
        <f aca="false">P157</f>
        <v>8800.00000000001</v>
      </c>
      <c r="D157" s="66" t="n">
        <f aca="false">AB157</f>
        <v>-0</v>
      </c>
      <c r="E157" s="67" t="n">
        <f aca="false">-SUMIF(Projects!E126:E137,"&lt;0")</f>
        <v>-0</v>
      </c>
      <c r="F157" s="67" t="n">
        <f aca="false">-SUMIF(Projects!F126:F137,"&lt;0")</f>
        <v>1309.09</v>
      </c>
      <c r="G157" s="67" t="n">
        <f aca="false">-SUMIF(Projects!G126:G137,"&lt;0")</f>
        <v>21871.79</v>
      </c>
      <c r="H157" s="67" t="n">
        <f aca="false">-SUMIF(Projects!H126:H137,"&lt;0")</f>
        <v>5525</v>
      </c>
      <c r="I157" s="67" t="n">
        <f aca="false">-SUMIF(Projects!I126:I137,"&lt;0")</f>
        <v>14479.38</v>
      </c>
      <c r="J157" s="67" t="n">
        <f aca="false">-SUMIF(Projects!J126:J137,"&lt;0")</f>
        <v>8287.5</v>
      </c>
      <c r="K157" s="67" t="n">
        <f aca="false">-SUMIF(Projects!K126:K137,"&lt;0")</f>
        <v>6791.49</v>
      </c>
      <c r="L157" s="67" t="n">
        <f aca="false">-SUMIF(Projects!L126:L137,"&lt;0")</f>
        <v>-0</v>
      </c>
      <c r="M157" s="67" t="n">
        <f aca="false">-SUMIF(Projects!M126:M137,"&lt;0")</f>
        <v>14144.7619047619</v>
      </c>
      <c r="N157" s="67" t="n">
        <f aca="false">-SUMIF(Projects!N126:N137,"&lt;0")</f>
        <v>39572.380952381</v>
      </c>
      <c r="O157" s="67" t="n">
        <f aca="false">-SUMIF(Projects!O126:O137,"&lt;0")</f>
        <v>-0</v>
      </c>
      <c r="P157" s="67" t="n">
        <f aca="false">-SUMIF(Projects!P126:P137,"&lt;0")</f>
        <v>8800.00000000001</v>
      </c>
      <c r="Q157" s="67" t="n">
        <f aca="false">-SUMIF(Projects!Q126:Q137,"&lt;0")</f>
        <v>-0</v>
      </c>
      <c r="R157" s="67" t="n">
        <f aca="false">-SUMIF(Projects!R126:R137,"&lt;0")</f>
        <v>-0</v>
      </c>
      <c r="S157" s="67" t="n">
        <f aca="false">-SUMIF(Projects!S126:S137,"&lt;0")</f>
        <v>-0</v>
      </c>
      <c r="T157" s="67" t="n">
        <f aca="false">-SUMIF(Projects!T126:T137,"&lt;0")</f>
        <v>-0</v>
      </c>
      <c r="U157" s="67" t="n">
        <f aca="false">-SUMIF(Projects!U126:U137,"&lt;0")</f>
        <v>-0</v>
      </c>
      <c r="V157" s="67" t="n">
        <f aca="false">-SUMIF(Projects!V126:V137,"&lt;0")</f>
        <v>-0</v>
      </c>
      <c r="W157" s="67" t="n">
        <f aca="false">-SUMIF(Projects!W126:W137,"&lt;0")</f>
        <v>-0</v>
      </c>
      <c r="X157" s="67" t="n">
        <f aca="false">-SUMIF(Projects!X126:X137,"&lt;0")</f>
        <v>-0</v>
      </c>
      <c r="Y157" s="67" t="n">
        <f aca="false">-SUMIF(Projects!Y126:Y137,"&lt;0")</f>
        <v>-0</v>
      </c>
      <c r="Z157" s="67" t="n">
        <f aca="false">-SUMIF(Projects!Z126:Z137,"&lt;0")</f>
        <v>-0</v>
      </c>
      <c r="AA157" s="67" t="n">
        <f aca="false">-SUMIF(Projects!AA126:AA137,"&lt;0")</f>
        <v>-0</v>
      </c>
      <c r="AB157" s="67" t="n">
        <f aca="false">-SUMIF(Projects!AB126:AB137,"&lt;0")</f>
        <v>-0</v>
      </c>
    </row>
    <row r="158" customFormat="false" ht="15" hidden="false" customHeight="false" outlineLevel="0" collapsed="false">
      <c r="A158" s="27" t="s">
        <v>967</v>
      </c>
      <c r="B158" s="63"/>
      <c r="C158" s="66" t="n">
        <f aca="false">SUM(E158:P158)</f>
        <v>0</v>
      </c>
      <c r="D158" s="66" t="n">
        <f aca="false">SUM(Q158:AB158)</f>
        <v>0</v>
      </c>
      <c r="E158" s="67" t="n">
        <f aca="false">ROUND((E156-E157)-(Inputs_Actuals!$C$298-Inputs_Actuals!$C$285)-(E155-E154),2)</f>
        <v>0</v>
      </c>
      <c r="F158" s="76" t="n">
        <f aca="false">ROUND((F156-F157)-(E156-E157)-(F155-F154),2)</f>
        <v>0</v>
      </c>
      <c r="G158" s="76" t="n">
        <f aca="false">ROUND((G156-G157)-(F156-F157)-(G155-G154),2)</f>
        <v>0</v>
      </c>
      <c r="H158" s="76" t="n">
        <f aca="false">ROUND((H156-H157)-(G156-G157)-(H155-H154),2)</f>
        <v>0</v>
      </c>
      <c r="I158" s="76" t="n">
        <f aca="false">ROUND((I156-I157)-(H156-H157)-(I155-I154),2)</f>
        <v>0</v>
      </c>
      <c r="J158" s="76" t="n">
        <f aca="false">ROUND((J156-J157)-(I156-I157)-(J155-J154),2)</f>
        <v>0</v>
      </c>
      <c r="K158" s="76" t="n">
        <f aca="false">ROUND((K156-K157)-(J156-J157)-(K155-K154),2)</f>
        <v>0</v>
      </c>
      <c r="L158" s="76" t="n">
        <f aca="false">ROUND((L156-L157)-(K156-K157)-(L155-L154),2)</f>
        <v>0</v>
      </c>
      <c r="M158" s="76" t="n">
        <f aca="false">ROUND((M156-M157)-(L156-L157)-(M155-M154),2)</f>
        <v>0</v>
      </c>
      <c r="N158" s="76" t="n">
        <f aca="false">ROUND((N156-N157)-(M156-M157)-(N155-N154),2)</f>
        <v>0</v>
      </c>
      <c r="O158" s="76" t="n">
        <f aca="false">ROUND((O156-O157)-(N156-N157)-(O155-O154),2)</f>
        <v>0</v>
      </c>
      <c r="P158" s="76" t="n">
        <f aca="false">ROUND((P156-P157)-(O156-O157)-(P155-P154),2)</f>
        <v>0</v>
      </c>
      <c r="Q158" s="76" t="n">
        <f aca="false">ROUND((Q156-Q157)-(P156-P157)-(Q155-Q154),2)</f>
        <v>0</v>
      </c>
      <c r="R158" s="76" t="n">
        <f aca="false">ROUND((R156-R157)-(Q156-Q157)-(R155-R154),2)</f>
        <v>0</v>
      </c>
      <c r="S158" s="76" t="n">
        <f aca="false">ROUND((S156-S157)-(R156-R157)-(S155-S154),2)</f>
        <v>0</v>
      </c>
      <c r="T158" s="76" t="n">
        <f aca="false">ROUND((T156-T157)-(S156-S157)-(T155-T154),2)</f>
        <v>0</v>
      </c>
      <c r="U158" s="76" t="n">
        <f aca="false">ROUND((U156-U157)-(T156-T157)-(U155-U154),2)</f>
        <v>0</v>
      </c>
      <c r="V158" s="76" t="n">
        <f aca="false">ROUND((V156-V157)-(U156-U157)-(V155-V154),2)</f>
        <v>0</v>
      </c>
      <c r="W158" s="76" t="n">
        <f aca="false">ROUND((W156-W157)-(V156-V157)-(W155-W154),2)</f>
        <v>0</v>
      </c>
      <c r="X158" s="76" t="n">
        <f aca="false">ROUND((X156-X157)-(W156-W157)-(X155-X154),2)</f>
        <v>0</v>
      </c>
      <c r="Y158" s="76" t="n">
        <f aca="false">ROUND((Y156-Y157)-(X156-X157)-(Y155-Y154),2)</f>
        <v>0</v>
      </c>
      <c r="Z158" s="76" t="n">
        <f aca="false">ROUND((Z156-Z157)-(Y156-Y157)-(Z155-Z154),2)</f>
        <v>0</v>
      </c>
      <c r="AA158" s="76" t="n">
        <f aca="false">ROUND((AA156-AA157)-(Z156-Z157)-(AA155-AA154),2)</f>
        <v>0</v>
      </c>
      <c r="AB158" s="76" t="n">
        <f aca="false">ROUND((AB156-AB157)-(AA156-AA157)-(AB155-AB154),2)</f>
        <v>0</v>
      </c>
    </row>
    <row r="159" customFormat="false" ht="15" hidden="false" customHeight="false" outlineLevel="0" collapsed="false">
      <c r="A159" s="59" t="s">
        <v>968</v>
      </c>
      <c r="B159" s="60"/>
      <c r="C159" s="61" t="n">
        <f aca="false">P159</f>
        <v>0</v>
      </c>
      <c r="D159" s="61" t="n">
        <f aca="false">AB159</f>
        <v>0</v>
      </c>
      <c r="E159" s="62" t="n">
        <f aca="false">SUM(Projects!E139:E150)</f>
        <v>0</v>
      </c>
      <c r="F159" s="62" t="n">
        <f aca="false">SUM(Projects!F139:F150)</f>
        <v>0</v>
      </c>
      <c r="G159" s="62" t="n">
        <f aca="false">SUM(Projects!G139:G150)</f>
        <v>0</v>
      </c>
      <c r="H159" s="62" t="n">
        <f aca="false">SUM(Projects!H139:H150)</f>
        <v>0</v>
      </c>
      <c r="I159" s="62" t="n">
        <f aca="false">SUM(Projects!I139:I150)</f>
        <v>0</v>
      </c>
      <c r="J159" s="62" t="n">
        <f aca="false">SUM(Projects!J139:J150)</f>
        <v>10147.14</v>
      </c>
      <c r="K159" s="62" t="n">
        <f aca="false">SUM(Projects!K139:K150)</f>
        <v>5415.71</v>
      </c>
      <c r="L159" s="62" t="n">
        <f aca="false">SUM(Projects!L139:L150)</f>
        <v>2507.14</v>
      </c>
      <c r="M159" s="62" t="n">
        <f aca="false">SUM(Projects!M139:M150)</f>
        <v>1671.42857142855</v>
      </c>
      <c r="N159" s="62" t="n">
        <f aca="false">SUM(Projects!N139:N150)</f>
        <v>835.714285714294</v>
      </c>
      <c r="O159" s="62" t="n">
        <f aca="false">SUM(Projects!O139:O150)</f>
        <v>0</v>
      </c>
      <c r="P159" s="62" t="n">
        <f aca="false">SUM(Projects!P139:P150)</f>
        <v>0</v>
      </c>
      <c r="Q159" s="62" t="n">
        <f aca="false">SUM(Projects!Q139:Q150)</f>
        <v>0</v>
      </c>
      <c r="R159" s="62" t="n">
        <f aca="false">SUM(Projects!R139:R150)</f>
        <v>0</v>
      </c>
      <c r="S159" s="62" t="n">
        <f aca="false">SUM(Projects!S139:S150)</f>
        <v>0</v>
      </c>
      <c r="T159" s="62" t="n">
        <f aca="false">SUM(Projects!T139:T150)</f>
        <v>0</v>
      </c>
      <c r="U159" s="62" t="n">
        <f aca="false">SUM(Projects!U139:U150)</f>
        <v>0</v>
      </c>
      <c r="V159" s="62" t="n">
        <f aca="false">SUM(Projects!V139:V150)</f>
        <v>0</v>
      </c>
      <c r="W159" s="62" t="n">
        <f aca="false">SUM(Projects!W139:W150)</f>
        <v>0</v>
      </c>
      <c r="X159" s="62" t="n">
        <f aca="false">SUM(Projects!X139:X150)</f>
        <v>0</v>
      </c>
      <c r="Y159" s="62" t="n">
        <f aca="false">SUM(Projects!Y139:Y150)</f>
        <v>0</v>
      </c>
      <c r="Z159" s="62" t="n">
        <f aca="false">SUM(Projects!Z139:Z150)</f>
        <v>0</v>
      </c>
      <c r="AA159" s="62" t="n">
        <f aca="false">SUM(Projects!AA139:AA150)</f>
        <v>0</v>
      </c>
      <c r="AB159" s="62" t="n">
        <f aca="false">SUM(Projects!AB139:AB150)</f>
        <v>0</v>
      </c>
    </row>
    <row r="160" customFormat="false" ht="15" hidden="false" customHeight="false" outlineLevel="0" collapsed="false">
      <c r="A160" s="27" t="s">
        <v>969</v>
      </c>
      <c r="B160" s="63"/>
      <c r="C160" s="66" t="n">
        <f aca="false">SUM(E160:P160)</f>
        <v>0</v>
      </c>
      <c r="D160" s="66" t="n">
        <f aca="false">SUM(Q160:AB160)</f>
        <v>0</v>
      </c>
      <c r="E160" s="67" t="n">
        <f aca="false">E159-Inputs_Actuals!$C$311</f>
        <v>0</v>
      </c>
      <c r="F160" s="76" t="n">
        <f aca="false">F159-E159</f>
        <v>0</v>
      </c>
      <c r="G160" s="76" t="n">
        <f aca="false">G159-F159</f>
        <v>0</v>
      </c>
      <c r="H160" s="76" t="n">
        <f aca="false">H159-G159</f>
        <v>0</v>
      </c>
      <c r="I160" s="76" t="n">
        <f aca="false">I159-H159</f>
        <v>0</v>
      </c>
      <c r="J160" s="76" t="n">
        <f aca="false">J159-I159</f>
        <v>10147.14</v>
      </c>
      <c r="K160" s="76" t="n">
        <f aca="false">K159-J159</f>
        <v>-4731.43</v>
      </c>
      <c r="L160" s="76" t="n">
        <f aca="false">L159-K159</f>
        <v>-2908.57</v>
      </c>
      <c r="M160" s="76" t="n">
        <f aca="false">M159-L159</f>
        <v>-835.711428571449</v>
      </c>
      <c r="N160" s="76" t="n">
        <f aca="false">N159-M159</f>
        <v>-835.714285714257</v>
      </c>
      <c r="O160" s="76" t="n">
        <f aca="false">O159-N159</f>
        <v>-835.714285714294</v>
      </c>
      <c r="P160" s="76" t="n">
        <f aca="false">P159-O159</f>
        <v>0</v>
      </c>
      <c r="Q160" s="76" t="n">
        <f aca="false">Q159-P159</f>
        <v>0</v>
      </c>
      <c r="R160" s="76" t="n">
        <f aca="false">R159-Q159</f>
        <v>0</v>
      </c>
      <c r="S160" s="76" t="n">
        <f aca="false">S159-R159</f>
        <v>0</v>
      </c>
      <c r="T160" s="76" t="n">
        <f aca="false">T159-S159</f>
        <v>0</v>
      </c>
      <c r="U160" s="76" t="n">
        <f aca="false">U159-T159</f>
        <v>0</v>
      </c>
      <c r="V160" s="76" t="n">
        <f aca="false">V159-U159</f>
        <v>0</v>
      </c>
      <c r="W160" s="76" t="n">
        <f aca="false">W159-V159</f>
        <v>0</v>
      </c>
      <c r="X160" s="76" t="n">
        <f aca="false">X159-W159</f>
        <v>0</v>
      </c>
      <c r="Y160" s="76" t="n">
        <f aca="false">Y159-X159</f>
        <v>0</v>
      </c>
      <c r="Z160" s="76" t="n">
        <f aca="false">Z159-Y159</f>
        <v>0</v>
      </c>
      <c r="AA160" s="76" t="n">
        <f aca="false">AA159-Z159</f>
        <v>0</v>
      </c>
      <c r="AB160" s="76" t="n">
        <f aca="false">AB159-AA159</f>
        <v>0</v>
      </c>
    </row>
    <row r="161" customFormat="false" ht="15" hidden="false" customHeight="false" outlineLevel="0" collapsed="false">
      <c r="A161" s="27" t="s">
        <v>970</v>
      </c>
      <c r="B161" s="63" t="s">
        <v>971</v>
      </c>
      <c r="C161" s="66" t="n">
        <f aca="false">P161</f>
        <v>17600</v>
      </c>
      <c r="D161" s="66" t="n">
        <f aca="false">AB161</f>
        <v>0</v>
      </c>
      <c r="E161" s="67" t="n">
        <f aca="false">SUMPRODUCT((Project_Register!$E$7:$E$18="FF")*(Project_Register!$F$7:$F$18-Projects!E87:E98))+SUMPRODUCT((Project_Register!$E$7:$E$18="TM")*(Project_Register!$U$7:$U$18+Project_Register!$V$7:$V$18-Projects!E35:E46-Projects!E48:E59)*Project_Register!$F$7:$F$18)</f>
        <v>722040.12</v>
      </c>
      <c r="F161" s="67" t="n">
        <f aca="false">SUMPRODUCT((Project_Register!$E$7:$E$18="FF")*(Project_Register!$F$7:$F$18-Projects!F87:F98))+SUMPRODUCT((Project_Register!$E$7:$E$18="TM")*(Project_Register!$U$7:$U$18+Project_Register!$V$7:$V$18-Projects!F35:F46-Projects!F48:F59)*Project_Register!$F$7:$F$18)</f>
        <v>653398.69</v>
      </c>
      <c r="G161" s="67" t="n">
        <f aca="false">SUMPRODUCT((Project_Register!$E$7:$E$18="FF")*(Project_Register!$F$7:$F$18-Projects!G87:G98))+SUMPRODUCT((Project_Register!$E$7:$E$18="TM")*(Project_Register!$U$7:$U$18+Project_Register!$V$7:$V$18-Projects!G35:G46-Projects!G48:G59)*Project_Register!$F$7:$F$18)</f>
        <v>561728.53</v>
      </c>
      <c r="H161" s="67" t="n">
        <f aca="false">SUMPRODUCT((Project_Register!$E$7:$E$18="FF")*(Project_Register!$F$7:$F$18-Projects!H87:H98))+SUMPRODUCT((Project_Register!$E$7:$E$18="TM")*(Project_Register!$U$7:$U$18+Project_Register!$V$7:$V$18-Projects!H35:H46-Projects!H48:H59)*Project_Register!$F$7:$F$18)</f>
        <v>465677.23</v>
      </c>
      <c r="I161" s="67" t="n">
        <f aca="false">SUMPRODUCT((Project_Register!$E$7:$E$18="FF")*(Project_Register!$F$7:$F$18-Projects!I87:I98))+SUMPRODUCT((Project_Register!$E$7:$E$18="TM")*(Project_Register!$U$7:$U$18+Project_Register!$V$7:$V$18-Projects!I35:I46-Projects!I48:I59)*Project_Register!$F$7:$F$18)</f>
        <v>377028.12</v>
      </c>
      <c r="J161" s="67" t="n">
        <f aca="false">SUMPRODUCT((Project_Register!$E$7:$E$18="FF")*(Project_Register!$F$7:$F$18-Projects!J87:J98))+SUMPRODUCT((Project_Register!$E$7:$E$18="TM")*(Project_Register!$U$7:$U$18+Project_Register!$V$7:$V$18-Projects!J35:J46-Projects!J48:J59)*Project_Register!$F$7:$F$18)</f>
        <v>347174.51</v>
      </c>
      <c r="K161" s="67" t="n">
        <f aca="false">SUMPRODUCT((Project_Register!$E$7:$E$18="FF")*(Project_Register!$F$7:$F$18-Projects!K87:K98))+SUMPRODUCT((Project_Register!$E$7:$E$18="TM")*(Project_Register!$U$7:$U$18+Project_Register!$V$7:$V$18-Projects!K35:K46-Projects!K48:K59)*Project_Register!$F$7:$F$18)</f>
        <v>276050.8</v>
      </c>
      <c r="L161" s="67" t="n">
        <f aca="false">SUMPRODUCT((Project_Register!$E$7:$E$18="FF")*(Project_Register!$F$7:$F$18-Projects!L87:L98))+SUMPRODUCT((Project_Register!$E$7:$E$18="TM")*(Project_Register!$U$7:$U$18+Project_Register!$V$7:$V$18-Projects!L35:L46-Projects!L48:L59)*Project_Register!$F$7:$F$18)</f>
        <v>237279.03</v>
      </c>
      <c r="M161" s="67" t="n">
        <f aca="false">SUMPRODUCT((Project_Register!$E$7:$E$18="FF")*(Project_Register!$F$7:$F$18-Projects!M87:M98))+SUMPRODUCT((Project_Register!$E$7:$E$18="TM")*(Project_Register!$U$7:$U$18+Project_Register!$V$7:$V$18-Projects!M35:M46-Projects!M48:M59)*Project_Register!$F$7:$F$18)</f>
        <v>147197.238095238</v>
      </c>
      <c r="N161" s="67" t="n">
        <f aca="false">SUMPRODUCT((Project_Register!$E$7:$E$18="FF")*(Project_Register!$F$7:$F$18-Projects!N87:N98))+SUMPRODUCT((Project_Register!$E$7:$E$18="TM")*(Project_Register!$U$7:$U$18+Project_Register!$V$7:$V$18-Projects!N35:N46-Projects!N48:N59)*Project_Register!$F$7:$F$18)</f>
        <v>98455.6190476191</v>
      </c>
      <c r="O161" s="67" t="n">
        <f aca="false">SUMPRODUCT((Project_Register!$E$7:$E$18="FF")*(Project_Register!$F$7:$F$18-Projects!O87:O98))+SUMPRODUCT((Project_Register!$E$7:$E$18="TM")*(Project_Register!$U$7:$U$18+Project_Register!$V$7:$V$18-Projects!O35:O46-Projects!O48:O59)*Project_Register!$F$7:$F$18)</f>
        <v>49714</v>
      </c>
      <c r="P161" s="67" t="n">
        <f aca="false">SUMPRODUCT((Project_Register!$E$7:$E$18="FF")*(Project_Register!$F$7:$F$18-Projects!P87:P98))+SUMPRODUCT((Project_Register!$E$7:$E$18="TM")*(Project_Register!$U$7:$U$18+Project_Register!$V$7:$V$18-Projects!P35:P46-Projects!P48:P59)*Project_Register!$F$7:$F$18)</f>
        <v>17600</v>
      </c>
      <c r="Q161" s="67" t="n">
        <f aca="false">SUMPRODUCT((Project_Register!$E$7:$E$18="FF")*(Project_Register!$F$7:$F$18-Projects!Q87:Q98))+SUMPRODUCT((Project_Register!$E$7:$E$18="TM")*(Project_Register!$U$7:$U$18+Project_Register!$V$7:$V$18-Projects!Q35:Q46-Projects!Q48:Q59)*Project_Register!$F$7:$F$18)</f>
        <v>0</v>
      </c>
      <c r="R161" s="67" t="n">
        <f aca="false">SUMPRODUCT((Project_Register!$E$7:$E$18="FF")*(Project_Register!$F$7:$F$18-Projects!R87:R98))+SUMPRODUCT((Project_Register!$E$7:$E$18="TM")*(Project_Register!$U$7:$U$18+Project_Register!$V$7:$V$18-Projects!R35:R46-Projects!R48:R59)*Project_Register!$F$7:$F$18)</f>
        <v>0</v>
      </c>
      <c r="S161" s="67" t="n">
        <f aca="false">SUMPRODUCT((Project_Register!$E$7:$E$18="FF")*(Project_Register!$F$7:$F$18-Projects!S87:S98))+SUMPRODUCT((Project_Register!$E$7:$E$18="TM")*(Project_Register!$U$7:$U$18+Project_Register!$V$7:$V$18-Projects!S35:S46-Projects!S48:S59)*Project_Register!$F$7:$F$18)</f>
        <v>0</v>
      </c>
      <c r="T161" s="67" t="n">
        <f aca="false">SUMPRODUCT((Project_Register!$E$7:$E$18="FF")*(Project_Register!$F$7:$F$18-Projects!T87:T98))+SUMPRODUCT((Project_Register!$E$7:$E$18="TM")*(Project_Register!$U$7:$U$18+Project_Register!$V$7:$V$18-Projects!T35:T46-Projects!T48:T59)*Project_Register!$F$7:$F$18)</f>
        <v>0</v>
      </c>
      <c r="U161" s="67" t="n">
        <f aca="false">SUMPRODUCT((Project_Register!$E$7:$E$18="FF")*(Project_Register!$F$7:$F$18-Projects!U87:U98))+SUMPRODUCT((Project_Register!$E$7:$E$18="TM")*(Project_Register!$U$7:$U$18+Project_Register!$V$7:$V$18-Projects!U35:U46-Projects!U48:U59)*Project_Register!$F$7:$F$18)</f>
        <v>0</v>
      </c>
      <c r="V161" s="67" t="n">
        <f aca="false">SUMPRODUCT((Project_Register!$E$7:$E$18="FF")*(Project_Register!$F$7:$F$18-Projects!V87:V98))+SUMPRODUCT((Project_Register!$E$7:$E$18="TM")*(Project_Register!$U$7:$U$18+Project_Register!$V$7:$V$18-Projects!V35:V46-Projects!V48:V59)*Project_Register!$F$7:$F$18)</f>
        <v>0</v>
      </c>
      <c r="W161" s="67" t="n">
        <f aca="false">SUMPRODUCT((Project_Register!$E$7:$E$18="FF")*(Project_Register!$F$7:$F$18-Projects!W87:W98))+SUMPRODUCT((Project_Register!$E$7:$E$18="TM")*(Project_Register!$U$7:$U$18+Project_Register!$V$7:$V$18-Projects!W35:W46-Projects!W48:W59)*Project_Register!$F$7:$F$18)</f>
        <v>0</v>
      </c>
      <c r="X161" s="67" t="n">
        <f aca="false">SUMPRODUCT((Project_Register!$E$7:$E$18="FF")*(Project_Register!$F$7:$F$18-Projects!X87:X98))+SUMPRODUCT((Project_Register!$E$7:$E$18="TM")*(Project_Register!$U$7:$U$18+Project_Register!$V$7:$V$18-Projects!X35:X46-Projects!X48:X59)*Project_Register!$F$7:$F$18)</f>
        <v>0</v>
      </c>
      <c r="Y161" s="67" t="n">
        <f aca="false">SUMPRODUCT((Project_Register!$E$7:$E$18="FF")*(Project_Register!$F$7:$F$18-Projects!Y87:Y98))+SUMPRODUCT((Project_Register!$E$7:$E$18="TM")*(Project_Register!$U$7:$U$18+Project_Register!$V$7:$V$18-Projects!Y35:Y46-Projects!Y48:Y59)*Project_Register!$F$7:$F$18)</f>
        <v>0</v>
      </c>
      <c r="Z161" s="67" t="n">
        <f aca="false">SUMPRODUCT((Project_Register!$E$7:$E$18="FF")*(Project_Register!$F$7:$F$18-Projects!Z87:Z98))+SUMPRODUCT((Project_Register!$E$7:$E$18="TM")*(Project_Register!$U$7:$U$18+Project_Register!$V$7:$V$18-Projects!Z35:Z46-Projects!Z48:Z59)*Project_Register!$F$7:$F$18)</f>
        <v>0</v>
      </c>
      <c r="AA161" s="67" t="n">
        <f aca="false">SUMPRODUCT((Project_Register!$E$7:$E$18="FF")*(Project_Register!$F$7:$F$18-Projects!AA87:AA98))+SUMPRODUCT((Project_Register!$E$7:$E$18="TM")*(Project_Register!$U$7:$U$18+Project_Register!$V$7:$V$18-Projects!AA35:AA46-Projects!AA48:AA59)*Project_Register!$F$7:$F$18)</f>
        <v>0</v>
      </c>
      <c r="AB161" s="67" t="n">
        <f aca="false">SUMPRODUCT((Project_Register!$E$7:$E$18="FF")*(Project_Register!$F$7:$F$18-Projects!AB87:AB98))+SUMPRODUCT((Project_Register!$E$7:$E$18="TM")*(Project_Register!$U$7:$U$18+Project_Register!$V$7:$V$18-Projects!AB35:AB46-Projects!AB48:AB59)*Project_Register!$F$7:$F$18)</f>
        <v>0</v>
      </c>
    </row>
    <row r="162" customFormat="false" ht="15" hidden="false" customHeight="false" outlineLevel="0" collapsed="false">
      <c r="A162" s="21" t="s">
        <v>972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row>
    <row r="163" customFormat="false" ht="15" hidden="false" customHeight="false" outlineLevel="0" collapsed="false">
      <c r="A163" s="27" t="s">
        <v>44</v>
      </c>
      <c r="B163" s="63" t="s">
        <v>973</v>
      </c>
      <c r="C163" s="66" t="n">
        <f aca="false">SUM(E163:P163)</f>
        <v>168302.761904762</v>
      </c>
      <c r="D163" s="66" t="n">
        <f aca="false">SUM(Q163:AB163)</f>
        <v>1060600</v>
      </c>
      <c r="E163" s="67" t="n">
        <f aca="false">IF(E$5="A",0,IF(Assumptions!E$200&gt;=Assumptions!$C$138,MAX(0,Assumptions!$F$186*Assumptions!E$213-E154),0))</f>
        <v>0</v>
      </c>
      <c r="F163" s="67" t="n">
        <f aca="false">IF(F$5="A",0,IF(Assumptions!F$200&gt;=Assumptions!$C$138,MAX(0,Assumptions!$F$186*Assumptions!F$213-F154),0))</f>
        <v>0</v>
      </c>
      <c r="G163" s="67" t="n">
        <f aca="false">IF(G$5="A",0,IF(Assumptions!G$200&gt;=Assumptions!$C$138,MAX(0,Assumptions!$F$186*Assumptions!G$213-G154),0))</f>
        <v>0</v>
      </c>
      <c r="H163" s="67" t="n">
        <f aca="false">IF(H$5="A",0,IF(Assumptions!H$200&gt;=Assumptions!$C$138,MAX(0,Assumptions!$F$186*Assumptions!H$213-H154),0))</f>
        <v>0</v>
      </c>
      <c r="I163" s="67" t="n">
        <f aca="false">IF(I$5="A",0,IF(Assumptions!I$200&gt;=Assumptions!$C$138,MAX(0,Assumptions!$F$186*Assumptions!I$213-I154),0))</f>
        <v>0</v>
      </c>
      <c r="J163" s="67" t="n">
        <f aca="false">IF(J$5="A",0,IF(Assumptions!J$200&gt;=Assumptions!$C$138,MAX(0,Assumptions!$F$186*Assumptions!J$213-J154),0))</f>
        <v>0</v>
      </c>
      <c r="K163" s="67" t="n">
        <f aca="false">IF(K$5="A",0,IF(Assumptions!K$200&gt;=Assumptions!$C$138,MAX(0,Assumptions!$F$186*Assumptions!K$213-K154),0))</f>
        <v>0</v>
      </c>
      <c r="L163" s="67" t="n">
        <f aca="false">IF(L$5="A",0,IF(Assumptions!L$200&gt;=Assumptions!$C$138,MAX(0,Assumptions!$F$186*Assumptions!L$213-L154),0))</f>
        <v>0</v>
      </c>
      <c r="M163" s="67" t="n">
        <f aca="false">IF(M$5="A",0,IF(Assumptions!M$200&gt;=Assumptions!$C$138,MAX(0,Assumptions!$F$186*Assumptions!M$213-M154),0))</f>
        <v>0</v>
      </c>
      <c r="N163" s="67" t="n">
        <f aca="false">IF(N$5="A",0,IF(Assumptions!N$200&gt;=Assumptions!$C$138,MAX(0,Assumptions!$F$186*Assumptions!N$213-N154),0))</f>
        <v>55658.3809523809</v>
      </c>
      <c r="O163" s="67" t="n">
        <f aca="false">IF(O$5="A",0,IF(Assumptions!O$200&gt;=Assumptions!$C$138,MAX(0,Assumptions!$F$186*Assumptions!O$213-O154),0))</f>
        <v>50258.380952381</v>
      </c>
      <c r="P163" s="67" t="n">
        <f aca="false">IF(P$5="A",0,IF(Assumptions!P$200&gt;=Assumptions!$C$138,MAX(0,Assumptions!$F$186*Assumptions!P$213-P154),0))</f>
        <v>62386</v>
      </c>
      <c r="Q163" s="67" t="n">
        <f aca="false">IF(Q$5="A",0,IF(Assumptions!Q$200&gt;=Assumptions!$C$138,MAX(0,Assumptions!$F$186*Assumptions!Q$213-Q154),0))</f>
        <v>67900</v>
      </c>
      <c r="R163" s="67" t="n">
        <f aca="false">IF(R$5="A",0,IF(Assumptions!R$200&gt;=Assumptions!$C$138,MAX(0,Assumptions!$F$186*Assumptions!R$213-R154),0))</f>
        <v>89100</v>
      </c>
      <c r="S163" s="67" t="n">
        <f aca="false">IF(S$5="A",0,IF(Assumptions!S$200&gt;=Assumptions!$C$138,MAX(0,Assumptions!$F$186*Assumptions!S$213-S154),0))</f>
        <v>95400</v>
      </c>
      <c r="T163" s="67" t="n">
        <f aca="false">IF(T$5="A",0,IF(Assumptions!T$200&gt;=Assumptions!$C$138,MAX(0,Assumptions!$F$186*Assumptions!T$213-T154),0))</f>
        <v>91800</v>
      </c>
      <c r="U163" s="67" t="n">
        <f aca="false">IF(U$5="A",0,IF(Assumptions!U$200&gt;=Assumptions!$C$138,MAX(0,Assumptions!$F$186*Assumptions!U$213-U154),0))</f>
        <v>87300</v>
      </c>
      <c r="V163" s="67" t="n">
        <f aca="false">IF(V$5="A",0,IF(Assumptions!V$200&gt;=Assumptions!$C$138,MAX(0,Assumptions!$F$186*Assumptions!V$213-V154),0))</f>
        <v>99000</v>
      </c>
      <c r="W163" s="67" t="n">
        <f aca="false">IF(W$5="A",0,IF(Assumptions!W$200&gt;=Assumptions!$C$138,MAX(0,Assumptions!$F$186*Assumptions!W$213-W154),0))</f>
        <v>83700</v>
      </c>
      <c r="X163" s="67" t="n">
        <f aca="false">IF(X$5="A",0,IF(Assumptions!X$200&gt;=Assumptions!$C$138,MAX(0,Assumptions!$F$186*Assumptions!X$213-X154),0))</f>
        <v>54000</v>
      </c>
      <c r="Y163" s="67" t="n">
        <f aca="false">IF(Y$5="A",0,IF(Assumptions!Y$200&gt;=Assumptions!$C$138,MAX(0,Assumptions!$F$186*Assumptions!Y$213-Y154),0))</f>
        <v>94500</v>
      </c>
      <c r="Z163" s="67" t="n">
        <f aca="false">IF(Z$5="A",0,IF(Assumptions!Z$200&gt;=Assumptions!$C$138,MAX(0,Assumptions!$F$186*Assumptions!Z$213-Z154),0))</f>
        <v>104400</v>
      </c>
      <c r="AA163" s="67" t="n">
        <f aca="false">IF(AA$5="A",0,IF(Assumptions!AA$200&gt;=Assumptions!$C$138,MAX(0,Assumptions!$F$186*Assumptions!AA$213-AA154),0))</f>
        <v>99000</v>
      </c>
      <c r="AB163" s="67" t="n">
        <f aca="false">IF(AB$5="A",0,IF(Assumptions!AB$200&gt;=Assumptions!$C$138,MAX(0,Assumptions!$F$186*Assumptions!AB$213-AB154),0))</f>
        <v>94500</v>
      </c>
    </row>
    <row r="164" customFormat="false" ht="15" hidden="false" customHeight="false" outlineLevel="0" collapsed="false">
      <c r="A164" s="27" t="s">
        <v>974</v>
      </c>
      <c r="B164" s="63" t="s">
        <v>975</v>
      </c>
      <c r="C164" s="66" t="n">
        <f aca="false">SUM(E164:P164)</f>
        <v>2475.0406162465</v>
      </c>
      <c r="D164" s="66" t="n">
        <f aca="false">SUM(Q164:AB164)</f>
        <v>15597.0588235294</v>
      </c>
      <c r="E164" s="67" t="n">
        <f aca="false">E163/Assumptions!$C$136</f>
        <v>0</v>
      </c>
      <c r="F164" s="67" t="n">
        <f aca="false">F163/Assumptions!$C$136</f>
        <v>0</v>
      </c>
      <c r="G164" s="67" t="n">
        <f aca="false">G163/Assumptions!$C$136</f>
        <v>0</v>
      </c>
      <c r="H164" s="67" t="n">
        <f aca="false">H163/Assumptions!$C$136</f>
        <v>0</v>
      </c>
      <c r="I164" s="67" t="n">
        <f aca="false">I163/Assumptions!$C$136</f>
        <v>0</v>
      </c>
      <c r="J164" s="67" t="n">
        <f aca="false">J163/Assumptions!$C$136</f>
        <v>0</v>
      </c>
      <c r="K164" s="67" t="n">
        <f aca="false">K163/Assumptions!$C$136</f>
        <v>0</v>
      </c>
      <c r="L164" s="67" t="n">
        <f aca="false">L163/Assumptions!$C$136</f>
        <v>0</v>
      </c>
      <c r="M164" s="67" t="n">
        <f aca="false">M163/Assumptions!$C$136</f>
        <v>0</v>
      </c>
      <c r="N164" s="67" t="n">
        <f aca="false">N163/Assumptions!$C$136</f>
        <v>818.505602240896</v>
      </c>
      <c r="O164" s="67" t="n">
        <f aca="false">O163/Assumptions!$C$136</f>
        <v>739.093837535014</v>
      </c>
      <c r="P164" s="67" t="n">
        <f aca="false">P163/Assumptions!$C$136</f>
        <v>917.441176470588</v>
      </c>
      <c r="Q164" s="67" t="n">
        <f aca="false">Q163/Assumptions!$C$136</f>
        <v>998.529411764706</v>
      </c>
      <c r="R164" s="67" t="n">
        <f aca="false">R163/Assumptions!$C$136</f>
        <v>1310.29411764706</v>
      </c>
      <c r="S164" s="67" t="n">
        <f aca="false">S163/Assumptions!$C$136</f>
        <v>1402.94117647059</v>
      </c>
      <c r="T164" s="67" t="n">
        <f aca="false">T163/Assumptions!$C$136</f>
        <v>1350</v>
      </c>
      <c r="U164" s="67" t="n">
        <f aca="false">U163/Assumptions!$C$136</f>
        <v>1283.82352941176</v>
      </c>
      <c r="V164" s="67" t="n">
        <f aca="false">V163/Assumptions!$C$136</f>
        <v>1455.88235294118</v>
      </c>
      <c r="W164" s="67" t="n">
        <f aca="false">W163/Assumptions!$C$136</f>
        <v>1230.88235294118</v>
      </c>
      <c r="X164" s="67" t="n">
        <f aca="false">X163/Assumptions!$C$136</f>
        <v>794.117647058824</v>
      </c>
      <c r="Y164" s="67" t="n">
        <f aca="false">Y163/Assumptions!$C$136</f>
        <v>1389.70588235294</v>
      </c>
      <c r="Z164" s="67" t="n">
        <f aca="false">Z163/Assumptions!$C$136</f>
        <v>1535.29411764706</v>
      </c>
      <c r="AA164" s="67" t="n">
        <f aca="false">AA163/Assumptions!$C$136</f>
        <v>1455.88235294118</v>
      </c>
      <c r="AB164" s="67" t="n">
        <f aca="false">AB163/Assumptions!$C$136</f>
        <v>1389.70588235294</v>
      </c>
    </row>
    <row r="165" customFormat="false" ht="15" hidden="false" customHeight="false" outlineLevel="0" collapsed="false">
      <c r="A165" s="27" t="s">
        <v>962</v>
      </c>
      <c r="B165" s="63" t="s">
        <v>976</v>
      </c>
      <c r="C165" s="66" t="n">
        <f aca="false">SUM(E165:P165)</f>
        <v>2227.53655462185</v>
      </c>
      <c r="D165" s="66" t="n">
        <f aca="false">SUM(Q165:AB165)</f>
        <v>14037.3529411765</v>
      </c>
      <c r="E165" s="67" t="n">
        <f aca="false">E164*Assumptions!$C$137</f>
        <v>0</v>
      </c>
      <c r="F165" s="67" t="n">
        <f aca="false">F164*Assumptions!$C$137</f>
        <v>0</v>
      </c>
      <c r="G165" s="67" t="n">
        <f aca="false">G164*Assumptions!$C$137</f>
        <v>0</v>
      </c>
      <c r="H165" s="67" t="n">
        <f aca="false">H164*Assumptions!$C$137</f>
        <v>0</v>
      </c>
      <c r="I165" s="67" t="n">
        <f aca="false">I164*Assumptions!$C$137</f>
        <v>0</v>
      </c>
      <c r="J165" s="67" t="n">
        <f aca="false">J164*Assumptions!$C$137</f>
        <v>0</v>
      </c>
      <c r="K165" s="67" t="n">
        <f aca="false">K164*Assumptions!$C$137</f>
        <v>0</v>
      </c>
      <c r="L165" s="67" t="n">
        <f aca="false">L164*Assumptions!$C$137</f>
        <v>0</v>
      </c>
      <c r="M165" s="67" t="n">
        <f aca="false">M164*Assumptions!$C$137</f>
        <v>0</v>
      </c>
      <c r="N165" s="67" t="n">
        <f aca="false">N164*Assumptions!$C$137</f>
        <v>736.655042016807</v>
      </c>
      <c r="O165" s="67" t="n">
        <f aca="false">O164*Assumptions!$C$137</f>
        <v>665.184453781513</v>
      </c>
      <c r="P165" s="67" t="n">
        <f aca="false">P164*Assumptions!$C$137</f>
        <v>825.69705882353</v>
      </c>
      <c r="Q165" s="67" t="n">
        <f aca="false">Q164*Assumptions!$C$137</f>
        <v>898.676470588235</v>
      </c>
      <c r="R165" s="67" t="n">
        <f aca="false">R164*Assumptions!$C$137</f>
        <v>1179.26470588235</v>
      </c>
      <c r="S165" s="67" t="n">
        <f aca="false">S164*Assumptions!$C$137</f>
        <v>1262.64705882353</v>
      </c>
      <c r="T165" s="67" t="n">
        <f aca="false">T164*Assumptions!$C$137</f>
        <v>1215</v>
      </c>
      <c r="U165" s="67" t="n">
        <f aca="false">U164*Assumptions!$C$137</f>
        <v>1155.44117647059</v>
      </c>
      <c r="V165" s="67" t="n">
        <f aca="false">V164*Assumptions!$C$137</f>
        <v>1310.29411764706</v>
      </c>
      <c r="W165" s="67" t="n">
        <f aca="false">W164*Assumptions!$C$137</f>
        <v>1107.79411764706</v>
      </c>
      <c r="X165" s="67" t="n">
        <f aca="false">X164*Assumptions!$C$137</f>
        <v>714.705882352941</v>
      </c>
      <c r="Y165" s="67" t="n">
        <f aca="false">Y164*Assumptions!$C$137</f>
        <v>1250.73529411765</v>
      </c>
      <c r="Z165" s="67" t="n">
        <f aca="false">Z164*Assumptions!$C$137</f>
        <v>1381.76470588235</v>
      </c>
      <c r="AA165" s="67" t="n">
        <f aca="false">AA164*Assumptions!$C$137</f>
        <v>1310.29411764706</v>
      </c>
      <c r="AB165" s="67" t="n">
        <f aca="false">AB164*Assumptions!$C$137</f>
        <v>1250.73529411765</v>
      </c>
    </row>
    <row r="166" customFormat="false" ht="15" hidden="false" customHeight="false" outlineLevel="0" collapsed="false">
      <c r="A166" s="27" t="s">
        <v>963</v>
      </c>
      <c r="B166" s="63"/>
      <c r="C166" s="66" t="n">
        <f aca="false">SUM(E166:P166)</f>
        <v>247.50406162465</v>
      </c>
      <c r="D166" s="66" t="n">
        <f aca="false">SUM(Q166:AB166)</f>
        <v>1559.70588235294</v>
      </c>
      <c r="E166" s="76" t="n">
        <f aca="false">E164-E165</f>
        <v>0</v>
      </c>
      <c r="F166" s="76" t="n">
        <f aca="false">F164-F165</f>
        <v>0</v>
      </c>
      <c r="G166" s="76" t="n">
        <f aca="false">G164-G165</f>
        <v>0</v>
      </c>
      <c r="H166" s="76" t="n">
        <f aca="false">H164-H165</f>
        <v>0</v>
      </c>
      <c r="I166" s="76" t="n">
        <f aca="false">I164-I165</f>
        <v>0</v>
      </c>
      <c r="J166" s="76" t="n">
        <f aca="false">J164-J165</f>
        <v>0</v>
      </c>
      <c r="K166" s="76" t="n">
        <f aca="false">K164-K165</f>
        <v>0</v>
      </c>
      <c r="L166" s="76" t="n">
        <f aca="false">L164-L165</f>
        <v>0</v>
      </c>
      <c r="M166" s="76" t="n">
        <f aca="false">M164-M165</f>
        <v>0</v>
      </c>
      <c r="N166" s="76" t="n">
        <f aca="false">N164-N165</f>
        <v>81.8505602240896</v>
      </c>
      <c r="O166" s="76" t="n">
        <f aca="false">O164-O165</f>
        <v>73.9093837535014</v>
      </c>
      <c r="P166" s="76" t="n">
        <f aca="false">P164-P165</f>
        <v>91.7441176470588</v>
      </c>
      <c r="Q166" s="76" t="n">
        <f aca="false">Q164-Q165</f>
        <v>99.8529411764706</v>
      </c>
      <c r="R166" s="76" t="n">
        <f aca="false">R164-R165</f>
        <v>131.029411764706</v>
      </c>
      <c r="S166" s="76" t="n">
        <f aca="false">S164-S165</f>
        <v>140.294117647059</v>
      </c>
      <c r="T166" s="76" t="n">
        <f aca="false">T164-T165</f>
        <v>135</v>
      </c>
      <c r="U166" s="76" t="n">
        <f aca="false">U164-U165</f>
        <v>128.382352941176</v>
      </c>
      <c r="V166" s="76" t="n">
        <f aca="false">V164-V165</f>
        <v>145.588235294118</v>
      </c>
      <c r="W166" s="76" t="n">
        <f aca="false">W164-W165</f>
        <v>123.088235294118</v>
      </c>
      <c r="X166" s="76" t="n">
        <f aca="false">X164-X165</f>
        <v>79.4117647058823</v>
      </c>
      <c r="Y166" s="76" t="n">
        <f aca="false">Y164-Y165</f>
        <v>138.970588235294</v>
      </c>
      <c r="Z166" s="76" t="n">
        <f aca="false">Z164-Z165</f>
        <v>153.529411764706</v>
      </c>
      <c r="AA166" s="76" t="n">
        <f aca="false">AA164-AA165</f>
        <v>145.588235294118</v>
      </c>
      <c r="AB166" s="76" t="n">
        <f aca="false">AB164-AB165</f>
        <v>138.970588235294</v>
      </c>
    </row>
    <row r="167" customFormat="false" ht="15" hidden="false" customHeight="false" outlineLevel="0" collapsed="false">
      <c r="A167" s="21" t="s">
        <v>977</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row>
    <row r="168" customFormat="false" ht="15" hidden="false" customHeight="false" outlineLevel="0" collapsed="false">
      <c r="A168" s="27" t="s">
        <v>978</v>
      </c>
      <c r="B168" s="63" t="s">
        <v>63</v>
      </c>
      <c r="C168" s="66" t="n">
        <f aca="false">SUM(E168:P168)</f>
        <v>0</v>
      </c>
      <c r="D168" s="66" t="n">
        <f aca="false">SUM(Q168:AB168)</f>
        <v>0</v>
      </c>
      <c r="E168" s="67" t="n">
        <f aca="false">-Receivables!E40</f>
        <v>-0</v>
      </c>
      <c r="F168" s="67" t="n">
        <f aca="false">-Receivables!F40</f>
        <v>-0</v>
      </c>
      <c r="G168" s="67" t="n">
        <f aca="false">-Receivables!G40</f>
        <v>-0</v>
      </c>
      <c r="H168" s="67" t="n">
        <f aca="false">-Receivables!H40</f>
        <v>-0</v>
      </c>
      <c r="I168" s="67" t="n">
        <f aca="false">-Receivables!I40</f>
        <v>-0</v>
      </c>
      <c r="J168" s="67" t="n">
        <f aca="false">-Receivables!J40</f>
        <v>-0</v>
      </c>
      <c r="K168" s="67" t="n">
        <f aca="false">-Receivables!K40</f>
        <v>-0</v>
      </c>
      <c r="L168" s="67" t="n">
        <f aca="false">-Receivables!L40</f>
        <v>-0</v>
      </c>
      <c r="M168" s="67" t="n">
        <f aca="false">-Receivables!M40</f>
        <v>-0</v>
      </c>
      <c r="N168" s="67" t="n">
        <f aca="false">-Receivables!N40</f>
        <v>-0</v>
      </c>
      <c r="O168" s="67" t="n">
        <f aca="false">-Receivables!O40</f>
        <v>-0</v>
      </c>
      <c r="P168" s="67" t="n">
        <f aca="false">-Receivables!P40</f>
        <v>-0</v>
      </c>
      <c r="Q168" s="67" t="n">
        <f aca="false">-Receivables!Q40</f>
        <v>-0</v>
      </c>
      <c r="R168" s="67" t="n">
        <f aca="false">-Receivables!R40</f>
        <v>-0</v>
      </c>
      <c r="S168" s="67" t="n">
        <f aca="false">-Receivables!S40</f>
        <v>-0</v>
      </c>
      <c r="T168" s="67" t="n">
        <f aca="false">-Receivables!T40</f>
        <v>-0</v>
      </c>
      <c r="U168" s="67" t="n">
        <f aca="false">-Receivables!U40</f>
        <v>-0</v>
      </c>
      <c r="V168" s="67" t="n">
        <f aca="false">-Receivables!V40</f>
        <v>-0</v>
      </c>
      <c r="W168" s="67" t="n">
        <f aca="false">-Receivables!W40</f>
        <v>-0</v>
      </c>
      <c r="X168" s="67" t="n">
        <f aca="false">-Receivables!X40</f>
        <v>-0</v>
      </c>
      <c r="Y168" s="67" t="n">
        <f aca="false">-Receivables!Y40</f>
        <v>-0</v>
      </c>
      <c r="Z168" s="67" t="n">
        <f aca="false">-Receivables!Z40</f>
        <v>-0</v>
      </c>
      <c r="AA168" s="67" t="n">
        <f aca="false">-Receivables!AA40</f>
        <v>-0</v>
      </c>
      <c r="AB168" s="67" t="n">
        <f aca="false">-Receivables!AB40</f>
        <v>-0</v>
      </c>
    </row>
    <row r="169" customFormat="false" ht="15" hidden="false" customHeight="false" outlineLevel="0" collapsed="false">
      <c r="A169" s="21" t="s">
        <v>979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row>
    <row r="170" customFormat="false" ht="15" hidden="false" customHeight="false" outlineLevel="0" collapsed="false">
      <c r="A170" s="59" t="s">
        <v>980</v>
      </c>
      <c r="B170" s="60" t="s">
        <v>981</v>
      </c>
      <c r="C170" s="61" t="n">
        <f aca="false">SUM(E170:P170)</f>
        <v>923294.961904762</v>
      </c>
      <c r="D170" s="61" t="n">
        <f aca="false">SUM(Q170:AB170)</f>
        <v>1078200</v>
      </c>
      <c r="E170" s="61" t="n">
        <f aca="false">E154+E163+E168</f>
        <v>50552.08</v>
      </c>
      <c r="F170" s="61" t="n">
        <f aca="false">F154+F163+F168</f>
        <v>68641.43</v>
      </c>
      <c r="G170" s="61" t="n">
        <f aca="false">G154+G163+G168</f>
        <v>91670.16</v>
      </c>
      <c r="H170" s="61" t="n">
        <f aca="false">H154+H163+H168</f>
        <v>96051.3</v>
      </c>
      <c r="I170" s="61" t="n">
        <f aca="false">I154+I163+I168</f>
        <v>88649.11</v>
      </c>
      <c r="J170" s="61" t="n">
        <f aca="false">J154+J163+J168</f>
        <v>29853.61</v>
      </c>
      <c r="K170" s="61" t="n">
        <f aca="false">K154+K163+K168</f>
        <v>71123.71</v>
      </c>
      <c r="L170" s="61" t="n">
        <f aca="false">L154+L163+L168</f>
        <v>38771.77</v>
      </c>
      <c r="M170" s="61" t="n">
        <f aca="false">M154+M163+M168</f>
        <v>90081.7919047619</v>
      </c>
      <c r="N170" s="61" t="n">
        <f aca="false">N154+N163+N168</f>
        <v>104400</v>
      </c>
      <c r="O170" s="61" t="n">
        <f aca="false">O154+O163+O168</f>
        <v>99000</v>
      </c>
      <c r="P170" s="61" t="n">
        <f aca="false">P154+P163+P168</f>
        <v>94500</v>
      </c>
      <c r="Q170" s="61" t="n">
        <f aca="false">Q154+Q163+Q168</f>
        <v>85500</v>
      </c>
      <c r="R170" s="61" t="n">
        <f aca="false">R154+R163+R168</f>
        <v>89100</v>
      </c>
      <c r="S170" s="61" t="n">
        <f aca="false">S154+S163+S168</f>
        <v>95400</v>
      </c>
      <c r="T170" s="61" t="n">
        <f aca="false">T154+T163+T168</f>
        <v>91800</v>
      </c>
      <c r="U170" s="61" t="n">
        <f aca="false">U154+U163+U168</f>
        <v>87300</v>
      </c>
      <c r="V170" s="61" t="n">
        <f aca="false">V154+V163+V168</f>
        <v>99000</v>
      </c>
      <c r="W170" s="61" t="n">
        <f aca="false">W154+W163+W168</f>
        <v>83700</v>
      </c>
      <c r="X170" s="61" t="n">
        <f aca="false">X154+X163+X168</f>
        <v>54000</v>
      </c>
      <c r="Y170" s="61" t="n">
        <f aca="false">Y154+Y163+Y168</f>
        <v>94500</v>
      </c>
      <c r="Z170" s="61" t="n">
        <f aca="false">Z154+Z163+Z168</f>
        <v>104400</v>
      </c>
      <c r="AA170" s="61" t="n">
        <f aca="false">AA154+AA163+AA168</f>
        <v>99000</v>
      </c>
      <c r="AB170" s="61" t="n">
        <f aca="false">AB154+AB163+AB168</f>
        <v>94500</v>
      </c>
    </row>
    <row r="171" customFormat="false" ht="15" hidden="false" customHeight="false" outlineLevel="0" collapsed="false">
      <c r="A171" s="27" t="s">
        <v>982</v>
      </c>
      <c r="B171" s="63" t="s">
        <v>983</v>
      </c>
      <c r="C171" s="66" t="n">
        <f aca="false">SUM(E171:P171)</f>
        <v>880582.761904762</v>
      </c>
      <c r="D171" s="66" t="n">
        <f aca="false">SUM(Q171:AB171)</f>
        <v>1087000</v>
      </c>
      <c r="E171" s="76" t="n">
        <f aca="false">E155+E163</f>
        <v>53712</v>
      </c>
      <c r="F171" s="76" t="n">
        <f aca="false">F155+F163</f>
        <v>45708</v>
      </c>
      <c r="G171" s="76" t="n">
        <f aca="false">G155+G163</f>
        <v>75904</v>
      </c>
      <c r="H171" s="76" t="n">
        <f aca="false">H155+H163</f>
        <v>116152</v>
      </c>
      <c r="I171" s="76" t="n">
        <f aca="false">I155+I163</f>
        <v>58784</v>
      </c>
      <c r="J171" s="76" t="n">
        <f aca="false">J155+J163</f>
        <v>64440</v>
      </c>
      <c r="K171" s="76" t="n">
        <f aca="false">K155+K163</f>
        <v>53952</v>
      </c>
      <c r="L171" s="76" t="n">
        <f aca="false">L155+L163</f>
        <v>43968</v>
      </c>
      <c r="M171" s="76" t="n">
        <f aca="false">M155+M163</f>
        <v>73518</v>
      </c>
      <c r="N171" s="76" t="n">
        <f aca="false">N155+N163</f>
        <v>70172.3809523809</v>
      </c>
      <c r="O171" s="76" t="n">
        <f aca="false">O155+O163</f>
        <v>147372.380952381</v>
      </c>
      <c r="P171" s="76" t="n">
        <f aca="false">P155+P163</f>
        <v>76900</v>
      </c>
      <c r="Q171" s="76" t="n">
        <f aca="false">Q155+Q163</f>
        <v>94300</v>
      </c>
      <c r="R171" s="76" t="n">
        <f aca="false">R155+R163</f>
        <v>89100</v>
      </c>
      <c r="S171" s="76" t="n">
        <f aca="false">S155+S163</f>
        <v>95400</v>
      </c>
      <c r="T171" s="76" t="n">
        <f aca="false">T155+T163</f>
        <v>91800</v>
      </c>
      <c r="U171" s="76" t="n">
        <f aca="false">U155+U163</f>
        <v>87300</v>
      </c>
      <c r="V171" s="76" t="n">
        <f aca="false">V155+V163</f>
        <v>99000</v>
      </c>
      <c r="W171" s="76" t="n">
        <f aca="false">W155+W163</f>
        <v>83700</v>
      </c>
      <c r="X171" s="76" t="n">
        <f aca="false">X155+X163</f>
        <v>54000</v>
      </c>
      <c r="Y171" s="76" t="n">
        <f aca="false">Y155+Y163</f>
        <v>94500</v>
      </c>
      <c r="Z171" s="76" t="n">
        <f aca="false">Z155+Z163</f>
        <v>104400</v>
      </c>
      <c r="AA171" s="76" t="n">
        <f aca="false">AA155+AA163</f>
        <v>99000</v>
      </c>
      <c r="AB171" s="76" t="n">
        <f aca="false">AB155+AB163</f>
        <v>94500</v>
      </c>
    </row>
    <row r="172" customFormat="false" ht="15" hidden="false" customHeight="false" outlineLevel="0" collapsed="false">
      <c r="A172" s="27" t="s">
        <v>878</v>
      </c>
      <c r="B172" s="63" t="s">
        <v>984</v>
      </c>
      <c r="C172" s="66" t="n">
        <f aca="false">SUM(E172:P172)</f>
        <v>723497.347619048</v>
      </c>
      <c r="D172" s="66" t="n">
        <f aca="false">SUM(Q172:AB172)</f>
        <v>927910</v>
      </c>
      <c r="E172" s="67" t="n">
        <f aca="false">SUMPRODUCT((Project_Register!$R$7:$R$18="PT")*Projects!E100:E111)+E163*Assumptions!$C$139</f>
        <v>32112</v>
      </c>
      <c r="F172" s="67" t="n">
        <f aca="false">SUMPRODUCT((Project_Register!$R$7:$R$18="PT")*Projects!F100:F111)+F163*Assumptions!$C$139</f>
        <v>39248</v>
      </c>
      <c r="G172" s="67" t="n">
        <f aca="false">SUMPRODUCT((Project_Register!$R$7:$R$18="PT")*Projects!G100:G111)+G163*Assumptions!$C$139</f>
        <v>39080</v>
      </c>
      <c r="H172" s="67" t="n">
        <f aca="false">SUMPRODUCT((Project_Register!$R$7:$R$18="PT")*Projects!H100:H111)+H163*Assumptions!$C$139</f>
        <v>108536</v>
      </c>
      <c r="I172" s="67" t="n">
        <f aca="false">SUMPRODUCT((Project_Register!$R$7:$R$18="PT")*Projects!I100:I111)+I163*Assumptions!$C$139</f>
        <v>51304</v>
      </c>
      <c r="J172" s="67" t="n">
        <f aca="false">SUMPRODUCT((Project_Register!$R$7:$R$18="PT")*Projects!J100:J111)+J163*Assumptions!$C$139</f>
        <v>34952</v>
      </c>
      <c r="K172" s="67" t="n">
        <f aca="false">SUMPRODUCT((Project_Register!$R$7:$R$18="PT")*Projects!K100:K111)+K163*Assumptions!$C$139</f>
        <v>46880</v>
      </c>
      <c r="L172" s="67" t="n">
        <f aca="false">SUMPRODUCT((Project_Register!$R$7:$R$18="PT")*Projects!L100:L111)+L163*Assumptions!$C$139</f>
        <v>39072</v>
      </c>
      <c r="M172" s="67" t="n">
        <f aca="false">SUMPRODUCT((Project_Register!$R$7:$R$18="PT")*Projects!M100:M111)+M163*Assumptions!$C$139</f>
        <v>63114</v>
      </c>
      <c r="N172" s="67" t="n">
        <f aca="false">SUMPRODUCT((Project_Register!$R$7:$R$18="PT")*Projects!N100:N111)+N163*Assumptions!$C$139</f>
        <v>61823.6238095238</v>
      </c>
      <c r="O172" s="67" t="n">
        <f aca="false">SUMPRODUCT((Project_Register!$R$7:$R$18="PT")*Projects!O100:O111)+O163*Assumptions!$C$139</f>
        <v>139833.623809524</v>
      </c>
      <c r="P172" s="67" t="n">
        <f aca="false">SUMPRODUCT((Project_Register!$R$7:$R$18="PT")*Projects!P100:P111)+P163*Assumptions!$C$139</f>
        <v>67542.1</v>
      </c>
      <c r="Q172" s="67" t="n">
        <f aca="false">SUMPRODUCT((Project_Register!$R$7:$R$18="PT")*Projects!Q100:Q111)+Q163*Assumptions!$C$139</f>
        <v>84115</v>
      </c>
      <c r="R172" s="67" t="n">
        <f aca="false">SUMPRODUCT((Project_Register!$R$7:$R$18="PT")*Projects!R100:R111)+R163*Assumptions!$C$139</f>
        <v>75735</v>
      </c>
      <c r="S172" s="67" t="n">
        <f aca="false">SUMPRODUCT((Project_Register!$R$7:$R$18="PT")*Projects!S100:S111)+S163*Assumptions!$C$139</f>
        <v>81090</v>
      </c>
      <c r="T172" s="67" t="n">
        <f aca="false">SUMPRODUCT((Project_Register!$R$7:$R$18="PT")*Projects!T100:T111)+T163*Assumptions!$C$139</f>
        <v>78030</v>
      </c>
      <c r="U172" s="67" t="n">
        <f aca="false">SUMPRODUCT((Project_Register!$R$7:$R$18="PT")*Projects!U100:U111)+U163*Assumptions!$C$139</f>
        <v>74205</v>
      </c>
      <c r="V172" s="67" t="n">
        <f aca="false">SUMPRODUCT((Project_Register!$R$7:$R$18="PT")*Projects!V100:V111)+V163*Assumptions!$C$139</f>
        <v>84150</v>
      </c>
      <c r="W172" s="67" t="n">
        <f aca="false">SUMPRODUCT((Project_Register!$R$7:$R$18="PT")*Projects!W100:W111)+W163*Assumptions!$C$139</f>
        <v>71145</v>
      </c>
      <c r="X172" s="67" t="n">
        <f aca="false">SUMPRODUCT((Project_Register!$R$7:$R$18="PT")*Projects!X100:X111)+X163*Assumptions!$C$139</f>
        <v>45900</v>
      </c>
      <c r="Y172" s="67" t="n">
        <f aca="false">SUMPRODUCT((Project_Register!$R$7:$R$18="PT")*Projects!Y100:Y111)+Y163*Assumptions!$C$139</f>
        <v>80325</v>
      </c>
      <c r="Z172" s="67" t="n">
        <f aca="false">SUMPRODUCT((Project_Register!$R$7:$R$18="PT")*Projects!Z100:Z111)+Z163*Assumptions!$C$139</f>
        <v>88740</v>
      </c>
      <c r="AA172" s="67" t="n">
        <f aca="false">SUMPRODUCT((Project_Register!$R$7:$R$18="PT")*Projects!AA100:AA111)+AA163*Assumptions!$C$139</f>
        <v>84150</v>
      </c>
      <c r="AB172" s="67" t="n">
        <f aca="false">SUMPRODUCT((Project_Register!$R$7:$R$18="PT")*Projects!AB100:AB111)+AB163*Assumptions!$C$139</f>
        <v>80325</v>
      </c>
    </row>
    <row r="173" customFormat="false" ht="15" hidden="false" customHeight="false" outlineLevel="0" collapsed="false">
      <c r="A173" s="27" t="s">
        <v>985</v>
      </c>
      <c r="B173" s="63"/>
      <c r="C173" s="66" t="n">
        <f aca="false">SUM(E173:P173)</f>
        <v>12537.5365546218</v>
      </c>
      <c r="D173" s="66" t="n">
        <f aca="false">SUM(Q173:AB173)</f>
        <v>14257.3529411765</v>
      </c>
      <c r="E173" s="76" t="n">
        <f aca="false">E152+E165</f>
        <v>660</v>
      </c>
      <c r="F173" s="76" t="n">
        <f aca="false">F152+F165</f>
        <v>882</v>
      </c>
      <c r="G173" s="76" t="n">
        <f aca="false">G152+G165</f>
        <v>1134</v>
      </c>
      <c r="H173" s="76" t="n">
        <f aca="false">H152+H165</f>
        <v>1119</v>
      </c>
      <c r="I173" s="76" t="n">
        <f aca="false">I152+I165</f>
        <v>1013</v>
      </c>
      <c r="J173" s="76" t="n">
        <f aca="false">J152+J165</f>
        <v>983</v>
      </c>
      <c r="K173" s="76" t="n">
        <f aca="false">K152+K165</f>
        <v>915</v>
      </c>
      <c r="L173" s="76" t="n">
        <f aca="false">L152+L165</f>
        <v>506</v>
      </c>
      <c r="M173" s="76" t="n">
        <f aca="false">M152+M165</f>
        <v>1239.25</v>
      </c>
      <c r="N173" s="76" t="n">
        <f aca="false">N152+N165</f>
        <v>1437.90504201681</v>
      </c>
      <c r="O173" s="76" t="n">
        <f aca="false">O152+O165</f>
        <v>1366.43445378151</v>
      </c>
      <c r="P173" s="76" t="n">
        <f aca="false">P152+P165</f>
        <v>1281.94705882353</v>
      </c>
      <c r="Q173" s="76" t="n">
        <f aca="false">Q152+Q165</f>
        <v>1118.67647058824</v>
      </c>
      <c r="R173" s="76" t="n">
        <f aca="false">R152+R165</f>
        <v>1179.26470588235</v>
      </c>
      <c r="S173" s="76" t="n">
        <f aca="false">S152+S165</f>
        <v>1262.64705882353</v>
      </c>
      <c r="T173" s="76" t="n">
        <f aca="false">T152+T165</f>
        <v>1215</v>
      </c>
      <c r="U173" s="76" t="n">
        <f aca="false">U152+U165</f>
        <v>1155.44117647059</v>
      </c>
      <c r="V173" s="76" t="n">
        <f aca="false">V152+V165</f>
        <v>1310.29411764706</v>
      </c>
      <c r="W173" s="76" t="n">
        <f aca="false">W152+W165</f>
        <v>1107.79411764706</v>
      </c>
      <c r="X173" s="76" t="n">
        <f aca="false">X152+X165</f>
        <v>714.705882352941</v>
      </c>
      <c r="Y173" s="76" t="n">
        <f aca="false">Y152+Y165</f>
        <v>1250.73529411765</v>
      </c>
      <c r="Z173" s="76" t="n">
        <f aca="false">Z152+Z165</f>
        <v>1381.76470588235</v>
      </c>
      <c r="AA173" s="76" t="n">
        <f aca="false">AA152+AA165</f>
        <v>1310.29411764706</v>
      </c>
      <c r="AB173" s="76" t="n">
        <f aca="false">AB152+AB165</f>
        <v>1250.73529411765</v>
      </c>
    </row>
    <row r="174" customFormat="false" ht="15" hidden="false" customHeight="false" outlineLevel="0" collapsed="false">
      <c r="A174" s="27" t="s">
        <v>986</v>
      </c>
      <c r="B174" s="63"/>
      <c r="C174" s="66" t="n">
        <f aca="false">SUM(E174:P174)</f>
        <v>1597.50406162465</v>
      </c>
      <c r="D174" s="66" t="n">
        <f aca="false">SUM(Q174:AB174)</f>
        <v>1559.70588235294</v>
      </c>
      <c r="E174" s="76" t="n">
        <f aca="false">E153+E166</f>
        <v>20</v>
      </c>
      <c r="F174" s="76" t="n">
        <f aca="false">F153+F166</f>
        <v>40</v>
      </c>
      <c r="G174" s="76" t="n">
        <f aca="false">G153+G166</f>
        <v>80</v>
      </c>
      <c r="H174" s="76" t="n">
        <f aca="false">H153+H166</f>
        <v>150</v>
      </c>
      <c r="I174" s="76" t="n">
        <f aca="false">I153+I166</f>
        <v>180</v>
      </c>
      <c r="J174" s="76" t="n">
        <f aca="false">J153+J166</f>
        <v>200</v>
      </c>
      <c r="K174" s="76" t="n">
        <f aca="false">K153+K166</f>
        <v>190</v>
      </c>
      <c r="L174" s="76" t="n">
        <f aca="false">L153+L166</f>
        <v>120</v>
      </c>
      <c r="M174" s="76" t="n">
        <f aca="false">M153+M166</f>
        <v>123.333333333333</v>
      </c>
      <c r="N174" s="76" t="n">
        <f aca="false">N153+N166</f>
        <v>205.183893557423</v>
      </c>
      <c r="O174" s="76" t="n">
        <f aca="false">O153+O166</f>
        <v>197.242717086835</v>
      </c>
      <c r="P174" s="76" t="n">
        <f aca="false">P153+P166</f>
        <v>91.7441176470588</v>
      </c>
      <c r="Q174" s="76" t="n">
        <f aca="false">Q153+Q166</f>
        <v>99.8529411764706</v>
      </c>
      <c r="R174" s="76" t="n">
        <f aca="false">R153+R166</f>
        <v>131.029411764706</v>
      </c>
      <c r="S174" s="76" t="n">
        <f aca="false">S153+S166</f>
        <v>140.294117647059</v>
      </c>
      <c r="T174" s="76" t="n">
        <f aca="false">T153+T166</f>
        <v>135</v>
      </c>
      <c r="U174" s="76" t="n">
        <f aca="false">U153+U166</f>
        <v>128.382352941176</v>
      </c>
      <c r="V174" s="76" t="n">
        <f aca="false">V153+V166</f>
        <v>145.588235294118</v>
      </c>
      <c r="W174" s="76" t="n">
        <f aca="false">W153+W166</f>
        <v>123.088235294118</v>
      </c>
      <c r="X174" s="76" t="n">
        <f aca="false">X153+X166</f>
        <v>79.4117647058823</v>
      </c>
      <c r="Y174" s="76" t="n">
        <f aca="false">Y153+Y166</f>
        <v>138.970588235294</v>
      </c>
      <c r="Z174" s="76" t="n">
        <f aca="false">Z153+Z166</f>
        <v>153.529411764706</v>
      </c>
      <c r="AA174" s="76" t="n">
        <f aca="false">AA153+AA166</f>
        <v>145.588235294118</v>
      </c>
      <c r="AB174" s="76" t="n">
        <f aca="false">AB153+AB166</f>
        <v>138.970588235294</v>
      </c>
    </row>
    <row r="175" customFormat="false" ht="15" hidden="false" customHeight="false" outlineLevel="0" collapsed="false">
      <c r="A175" s="27" t="s">
        <v>987</v>
      </c>
      <c r="B175" s="63" t="s">
        <v>988</v>
      </c>
      <c r="C175" s="66" t="n">
        <f aca="false">SUM(E175:P175)</f>
        <v>18000</v>
      </c>
      <c r="D175" s="66" t="n">
        <f aca="false">SUM(Q175:AB175)</f>
        <v>18450</v>
      </c>
      <c r="E175" s="67" t="n">
        <f aca="false">IF(E$5="A",Inputs_Actuals!E244,Assumptions!$C$151*Assumptions!E$208)</f>
        <v>1500</v>
      </c>
      <c r="F175" s="67" t="n">
        <f aca="false">IF(F$5="A",Inputs_Actuals!F244,Assumptions!$C$151*Assumptions!F$208)</f>
        <v>1500</v>
      </c>
      <c r="G175" s="67" t="n">
        <f aca="false">IF(G$5="A",Inputs_Actuals!G244,Assumptions!$C$151*Assumptions!G$208)</f>
        <v>1500</v>
      </c>
      <c r="H175" s="67" t="n">
        <f aca="false">IF(H$5="A",Inputs_Actuals!H244,Assumptions!$C$151*Assumptions!H$208)</f>
        <v>1500</v>
      </c>
      <c r="I175" s="67" t="n">
        <f aca="false">IF(I$5="A",Inputs_Actuals!I244,Assumptions!$C$151*Assumptions!I$208)</f>
        <v>1500</v>
      </c>
      <c r="J175" s="67" t="n">
        <f aca="false">IF(J$5="A",Inputs_Actuals!J244,Assumptions!$C$151*Assumptions!J$208)</f>
        <v>1500</v>
      </c>
      <c r="K175" s="67" t="n">
        <f aca="false">IF(K$5="A",Inputs_Actuals!K244,Assumptions!$C$151*Assumptions!K$208)</f>
        <v>1500</v>
      </c>
      <c r="L175" s="67" t="n">
        <f aca="false">IF(L$5="A",Inputs_Actuals!L244,Assumptions!$C$151*Assumptions!L$208)</f>
        <v>1500</v>
      </c>
      <c r="M175" s="67" t="n">
        <f aca="false">IF(M$5="A",Inputs_Actuals!M244,Assumptions!$C$151*Assumptions!M$208)</f>
        <v>1500</v>
      </c>
      <c r="N175" s="67" t="n">
        <f aca="false">IF(N$5="A",Inputs_Actuals!N244,Assumptions!$C$151*Assumptions!N$208)</f>
        <v>1500</v>
      </c>
      <c r="O175" s="67" t="n">
        <f aca="false">IF(O$5="A",Inputs_Actuals!O244,Assumptions!$C$151*Assumptions!O$208)</f>
        <v>1500</v>
      </c>
      <c r="P175" s="67" t="n">
        <f aca="false">IF(P$5="A",Inputs_Actuals!P244,Assumptions!$C$151*Assumptions!P$208)</f>
        <v>1500</v>
      </c>
      <c r="Q175" s="67" t="n">
        <f aca="false">IF(Q$5="A",Inputs_Actuals!Q244,Assumptions!$C$151*Assumptions!Q$208)</f>
        <v>1537.5</v>
      </c>
      <c r="R175" s="67" t="n">
        <f aca="false">IF(R$5="A",Inputs_Actuals!R244,Assumptions!$C$151*Assumptions!R$208)</f>
        <v>1537.5</v>
      </c>
      <c r="S175" s="67" t="n">
        <f aca="false">IF(S$5="A",Inputs_Actuals!S244,Assumptions!$C$151*Assumptions!S$208)</f>
        <v>1537.5</v>
      </c>
      <c r="T175" s="67" t="n">
        <f aca="false">IF(T$5="A",Inputs_Actuals!T244,Assumptions!$C$151*Assumptions!T$208)</f>
        <v>1537.5</v>
      </c>
      <c r="U175" s="67" t="n">
        <f aca="false">IF(U$5="A",Inputs_Actuals!U244,Assumptions!$C$151*Assumptions!U$208)</f>
        <v>1537.5</v>
      </c>
      <c r="V175" s="67" t="n">
        <f aca="false">IF(V$5="A",Inputs_Actuals!V244,Assumptions!$C$151*Assumptions!V$208)</f>
        <v>1537.5</v>
      </c>
      <c r="W175" s="67" t="n">
        <f aca="false">IF(W$5="A",Inputs_Actuals!W244,Assumptions!$C$151*Assumptions!W$208)</f>
        <v>1537.5</v>
      </c>
      <c r="X175" s="67" t="n">
        <f aca="false">IF(X$5="A",Inputs_Actuals!X244,Assumptions!$C$151*Assumptions!X$208)</f>
        <v>1537.5</v>
      </c>
      <c r="Y175" s="67" t="n">
        <f aca="false">IF(Y$5="A",Inputs_Actuals!Y244,Assumptions!$C$151*Assumptions!Y$208)</f>
        <v>1537.5</v>
      </c>
      <c r="Z175" s="67" t="n">
        <f aca="false">IF(Z$5="A",Inputs_Actuals!Z244,Assumptions!$C$151*Assumptions!Z$208)</f>
        <v>1537.5</v>
      </c>
      <c r="AA175" s="67" t="n">
        <f aca="false">IF(AA$5="A",Inputs_Actuals!AA244,Assumptions!$C$151*Assumptions!AA$208)</f>
        <v>1537.5</v>
      </c>
      <c r="AB175" s="67" t="n">
        <f aca="false">IF(AB$5="A",Inputs_Actuals!AB244,Assumptions!$C$151*Assumptions!AB$208)</f>
        <v>1537.5</v>
      </c>
    </row>
    <row r="176" customFormat="false" ht="15" hidden="false" customHeight="false" outlineLevel="0" collapsed="false">
      <c r="A176" s="59" t="s">
        <v>989</v>
      </c>
      <c r="B176" s="60" t="s">
        <v>990</v>
      </c>
      <c r="C176" s="61" t="n">
        <f aca="false">SUM(E176:P176)</f>
        <v>148995.333053221</v>
      </c>
      <c r="D176" s="61" t="n">
        <f aca="false">SUM(Q176:AB176)</f>
        <v>146345.882352941</v>
      </c>
      <c r="E176" s="62" t="n">
        <f aca="false">E174*Assumptions!$C$135+E175</f>
        <v>3140</v>
      </c>
      <c r="F176" s="62" t="n">
        <f aca="false">F174*Assumptions!$C$135+F175</f>
        <v>4780</v>
      </c>
      <c r="G176" s="62" t="n">
        <f aca="false">G174*Assumptions!$C$135+G175</f>
        <v>8060</v>
      </c>
      <c r="H176" s="62" t="n">
        <f aca="false">H174*Assumptions!$C$135+H175</f>
        <v>13800</v>
      </c>
      <c r="I176" s="62" t="n">
        <f aca="false">I174*Assumptions!$C$135+I175</f>
        <v>16260</v>
      </c>
      <c r="J176" s="62" t="n">
        <f aca="false">J174*Assumptions!$C$135+J175</f>
        <v>17900</v>
      </c>
      <c r="K176" s="62" t="n">
        <f aca="false">K174*Assumptions!$C$135+K175</f>
        <v>17080</v>
      </c>
      <c r="L176" s="62" t="n">
        <f aca="false">L174*Assumptions!$C$135+L175</f>
        <v>11340</v>
      </c>
      <c r="M176" s="62" t="n">
        <f aca="false">M174*Assumptions!$C$135+M175</f>
        <v>11613.3333333333</v>
      </c>
      <c r="N176" s="62" t="n">
        <f aca="false">N174*Assumptions!$C$135+N175</f>
        <v>18325.0792717087</v>
      </c>
      <c r="O176" s="62" t="n">
        <f aca="false">O174*Assumptions!$C$135+O175</f>
        <v>17673.9028011205</v>
      </c>
      <c r="P176" s="62" t="n">
        <f aca="false">P174*Assumptions!$C$135+P175</f>
        <v>9023.01764705882</v>
      </c>
      <c r="Q176" s="62" t="n">
        <f aca="false">Q174*Assumptions!$C$135+Q175</f>
        <v>9725.44117647059</v>
      </c>
      <c r="R176" s="62" t="n">
        <f aca="false">R174*Assumptions!$C$135+R175</f>
        <v>12281.9117647059</v>
      </c>
      <c r="S176" s="62" t="n">
        <f aca="false">S174*Assumptions!$C$135+S175</f>
        <v>13041.6176470588</v>
      </c>
      <c r="T176" s="62" t="n">
        <f aca="false">T174*Assumptions!$C$135+T175</f>
        <v>12607.5</v>
      </c>
      <c r="U176" s="62" t="n">
        <f aca="false">U174*Assumptions!$C$135+U175</f>
        <v>12064.8529411765</v>
      </c>
      <c r="V176" s="62" t="n">
        <f aca="false">V174*Assumptions!$C$135+V175</f>
        <v>13475.7352941176</v>
      </c>
      <c r="W176" s="62" t="n">
        <f aca="false">W174*Assumptions!$C$135+W175</f>
        <v>11630.7352941176</v>
      </c>
      <c r="X176" s="62" t="n">
        <f aca="false">X174*Assumptions!$C$135+X175</f>
        <v>8049.26470588235</v>
      </c>
      <c r="Y176" s="62" t="n">
        <f aca="false">Y174*Assumptions!$C$135+Y175</f>
        <v>12933.0882352941</v>
      </c>
      <c r="Z176" s="62" t="n">
        <f aca="false">Z174*Assumptions!$C$135+Z175</f>
        <v>14126.9117647059</v>
      </c>
      <c r="AA176" s="62" t="n">
        <f aca="false">AA174*Assumptions!$C$135+AA175</f>
        <v>13475.7352941176</v>
      </c>
      <c r="AB176" s="62" t="n">
        <f aca="false">AB174*Assumptions!$C$135+AB175</f>
        <v>12933.0882352941</v>
      </c>
    </row>
    <row r="177" customFormat="false" ht="15" hidden="false" customHeight="false" outlineLevel="0" collapsed="false">
      <c r="A177" s="27" t="s">
        <v>991</v>
      </c>
      <c r="B177" s="63" t="s">
        <v>61</v>
      </c>
      <c r="C177" s="74" t="n">
        <f aca="false">P177</f>
        <v>12.7869144145448</v>
      </c>
      <c r="D177" s="74" t="n">
        <f aca="false">AB177</f>
        <v>13.7704918032784</v>
      </c>
      <c r="E177" s="75" t="n">
        <f aca="false">People!E28</f>
        <v>12</v>
      </c>
      <c r="F177" s="75" t="n">
        <f aca="false">People!F28</f>
        <v>13</v>
      </c>
      <c r="G177" s="75" t="n">
        <f aca="false">People!G28</f>
        <v>13</v>
      </c>
      <c r="H177" s="75" t="n">
        <f aca="false">People!H28</f>
        <v>13</v>
      </c>
      <c r="I177" s="75" t="n">
        <f aca="false">People!I28</f>
        <v>13</v>
      </c>
      <c r="J177" s="75" t="n">
        <f aca="false">People!J28</f>
        <v>13</v>
      </c>
      <c r="K177" s="75" t="n">
        <f aca="false">People!K28</f>
        <v>13</v>
      </c>
      <c r="L177" s="75" t="n">
        <f aca="false">People!L28</f>
        <v>13</v>
      </c>
      <c r="M177" s="75" t="n">
        <f aca="false">People!M28</f>
        <v>12.8916666666667</v>
      </c>
      <c r="N177" s="75" t="n">
        <f aca="false">People!N28</f>
        <v>12.7842361111111</v>
      </c>
      <c r="O177" s="75" t="n">
        <f aca="false">People!O28</f>
        <v>12.7860341435185</v>
      </c>
      <c r="P177" s="75" t="n">
        <f aca="false">People!P28</f>
        <v>12.7869144145448</v>
      </c>
      <c r="Q177" s="75" t="n">
        <f aca="false">People!Q28</f>
        <v>13.7868920953495</v>
      </c>
      <c r="R177" s="75" t="n">
        <f aca="false">People!R28</f>
        <v>13.7785516124175</v>
      </c>
      <c r="S177" s="75" t="n">
        <f aca="false">People!S28</f>
        <v>13.7702879691019</v>
      </c>
      <c r="T177" s="75" t="n">
        <f aca="false">People!T28</f>
        <v>13.7704263368207</v>
      </c>
      <c r="U177" s="75" t="n">
        <f aca="false">People!U28</f>
        <v>13.7704940474506</v>
      </c>
      <c r="V177" s="75" t="n">
        <f aca="false">People!V28</f>
        <v>13.7704923301311</v>
      </c>
      <c r="W177" s="75" t="n">
        <f aca="false">People!W28</f>
        <v>13.7704917801868</v>
      </c>
      <c r="X177" s="75" t="n">
        <f aca="false">People!X28</f>
        <v>13.7704917990807</v>
      </c>
      <c r="Y177" s="75" t="n">
        <f aca="false">People!Y28</f>
        <v>13.7704918035061</v>
      </c>
      <c r="Z177" s="75" t="n">
        <f aca="false">People!Z28</f>
        <v>13.7704918033118</v>
      </c>
      <c r="AA177" s="75" t="n">
        <f aca="false">People!AA28</f>
        <v>13.7704918032765</v>
      </c>
      <c r="AB177" s="75" t="n">
        <f aca="false">People!AB28</f>
        <v>13.7704918032784</v>
      </c>
    </row>
    <row r="178" customFormat="false" ht="15" hidden="false" customHeight="false" outlineLevel="0" collapsed="false">
      <c r="A178" s="27" t="s">
        <v>992</v>
      </c>
      <c r="B178" s="63"/>
      <c r="C178" s="65" t="n">
        <f aca="false">AVERAGE(E178:P178)</f>
        <v>0.702142656570593</v>
      </c>
      <c r="D178" s="65" t="n">
        <f aca="false">AVERAGE(Q178:AB178)</f>
        <v>0.747434331958569</v>
      </c>
      <c r="E178" s="64" t="n">
        <f aca="false">IF(E177=0,0,E173/(E177*Assumptions!$C$112*(1-Assumptions!E$215)))</f>
        <v>0.455599734923791</v>
      </c>
      <c r="F178" s="64" t="n">
        <f aca="false">IF(F177=0,0,F173/(F177*Assumptions!$C$112*(1-Assumptions!F$215)))</f>
        <v>0.568225744105141</v>
      </c>
      <c r="G178" s="64" t="n">
        <f aca="false">IF(G177=0,0,G173/(G177*Assumptions!$C$112*(1-Assumptions!G$215)))</f>
        <v>0.73057595670661</v>
      </c>
      <c r="H178" s="64" t="n">
        <f aca="false">IF(H177=0,0,H173/(H177*Assumptions!$C$112*(1-Assumptions!H$215)))</f>
        <v>0.754266763730486</v>
      </c>
      <c r="I178" s="64" t="n">
        <f aca="false">IF(I177=0,0,I173/(I177*Assumptions!$C$112*(1-Assumptions!I$215)))</f>
        <v>0.659917656868876</v>
      </c>
      <c r="J178" s="64" t="n">
        <f aca="false">IF(J177=0,0,J173/(J177*Assumptions!$C$112*(1-Assumptions!J$215)))</f>
        <v>0.662595378683707</v>
      </c>
      <c r="K178" s="64" t="n">
        <f aca="false">IF(K177=0,0,K173/(K177*Assumptions!$C$112*(1-Assumptions!K$215)))</f>
        <v>0.654618818681319</v>
      </c>
      <c r="L178" s="64" t="n">
        <f aca="false">IF(L177=0,0,L173/(L177*Assumptions!$C$112*(1-Assumptions!L$215)))</f>
        <v>0.401434374206651</v>
      </c>
      <c r="M178" s="64" t="n">
        <f aca="false">IF(M177=0,0,M173/(M177*Assumptions!$C$112*(1-Assumptions!M$215)))</f>
        <v>0.832709543116783</v>
      </c>
      <c r="N178" s="64" t="n">
        <f aca="false">IF(N177=0,0,N173/(N177*Assumptions!$C$112*(1-Assumptions!N$215)))</f>
        <v>0.942000420761861</v>
      </c>
      <c r="O178" s="64" t="n">
        <f aca="false">IF(O177=0,0,O173/(O177*Assumptions!$C$112*(1-Assumptions!O$215)))</f>
        <v>0.885265862518047</v>
      </c>
      <c r="P178" s="64" t="n">
        <f aca="false">IF(P177=0,0,P173/(P177*Assumptions!$C$112*(1-Assumptions!P$215)))</f>
        <v>0.878501624543847</v>
      </c>
      <c r="Q178" s="64" t="n">
        <f aca="false">IF(Q177=0,0,Q173/(Q177*Assumptions!$C$112*(1-Assumptions!Q$215)))</f>
        <v>0.672138697777884</v>
      </c>
      <c r="R178" s="64" t="n">
        <f aca="false">IF(R177=0,0,R173/(R177*Assumptions!$C$112*(1-Assumptions!R$215)))</f>
        <v>0.716808929146396</v>
      </c>
      <c r="S178" s="64" t="n">
        <f aca="false">IF(S177=0,0,S173/(S177*Assumptions!$C$112*(1-Assumptions!S$215)))</f>
        <v>0.767952966177076</v>
      </c>
      <c r="T178" s="64" t="n">
        <f aca="false">IF(T177=0,0,T173/(T177*Assumptions!$C$112*(1-Assumptions!T$215)))</f>
        <v>0.773155996535326</v>
      </c>
      <c r="U178" s="64" t="n">
        <f aca="false">IF(U177=0,0,U173/(U177*Assumptions!$C$112*(1-Assumptions!U$215)))</f>
        <v>0.710594716639815</v>
      </c>
      <c r="V178" s="64" t="n">
        <f aca="false">IF(V177=0,0,V173/(V177*Assumptions!$C$112*(1-Assumptions!V$215)))</f>
        <v>0.833791686679708</v>
      </c>
      <c r="W178" s="64" t="n">
        <f aca="false">IF(W177=0,0,W173/(W177*Assumptions!$C$112*(1-Assumptions!W$215)))</f>
        <v>0.748204556514275</v>
      </c>
      <c r="X178" s="64" t="n">
        <f aca="false">IF(X177=0,0,X173/(X177*Assumptions!$C$112*(1-Assumptions!X$215)))</f>
        <v>0.535285277640512</v>
      </c>
      <c r="Y178" s="64" t="n">
        <f aca="false">IF(Y177=0,0,Y173/(Y177*Assumptions!$C$112*(1-Assumptions!Y$215)))</f>
        <v>0.786791457734346</v>
      </c>
      <c r="Z178" s="64" t="n">
        <f aca="false">IF(Z177=0,0,Z173/(Z177*Assumptions!$C$112*(1-Assumptions!Z$215)))</f>
        <v>0.840388919384831</v>
      </c>
      <c r="AA178" s="64" t="n">
        <f aca="false">IF(AA177=0,0,AA173/(AA177*Assumptions!$C$112*(1-Assumptions!AA$215)))</f>
        <v>0.788206684264287</v>
      </c>
      <c r="AB178" s="64" t="n">
        <f aca="false">IF(AB177=0,0,AB173/(AB177*Assumptions!$C$112*(1-Assumptions!AB$215)))</f>
        <v>0.795892095008365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993</v>
      </c>
    </row>
    <row r="3" customFormat="false" ht="15" hidden="false" customHeight="false" outlineLevel="0" collapsed="false">
      <c r="A3" s="50" t="s">
        <v>994</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59" t="s">
        <v>995</v>
      </c>
      <c r="B8" s="60" t="s">
        <v>996</v>
      </c>
      <c r="C8" s="61" t="n">
        <f aca="false">SUM(E8:P8)</f>
        <v>2513080</v>
      </c>
      <c r="D8" s="61" t="n">
        <f aca="false">SUM(Q8:AB8)</f>
        <v>2485600</v>
      </c>
      <c r="E8" s="62" t="n">
        <f aca="false">IF(E$5="A",Inputs_Actuals!E117,Assumptions!$C$126*Assumptions!E$211*Assumptions!$F$182)</f>
        <v>186000</v>
      </c>
      <c r="F8" s="62" t="n">
        <f aca="false">IF(F$5="A",Inputs_Actuals!F117,Assumptions!$C$126*Assumptions!F$211*Assumptions!$F$182)</f>
        <v>197000</v>
      </c>
      <c r="G8" s="62" t="n">
        <f aca="false">IF(G$5="A",Inputs_Actuals!G117,Assumptions!$C$126*Assumptions!G$211*Assumptions!$F$182)</f>
        <v>224000</v>
      </c>
      <c r="H8" s="62" t="n">
        <f aca="false">IF(H$5="A",Inputs_Actuals!H117,Assumptions!$C$126*Assumptions!H$211*Assumptions!$F$182)</f>
        <v>201000</v>
      </c>
      <c r="I8" s="62" t="n">
        <f aca="false">IF(I$5="A",Inputs_Actuals!I117,Assumptions!$C$126*Assumptions!I$211*Assumptions!$F$182)</f>
        <v>212000</v>
      </c>
      <c r="J8" s="62" t="n">
        <f aca="false">IF(J$5="A",Inputs_Actuals!J117,Assumptions!$C$126*Assumptions!J$211*Assumptions!$F$182)</f>
        <v>238000</v>
      </c>
      <c r="K8" s="62" t="n">
        <f aca="false">IF(K$5="A",Inputs_Actuals!K117,Assumptions!$C$126*Assumptions!K$211*Assumptions!$F$182)</f>
        <v>196000</v>
      </c>
      <c r="L8" s="62" t="n">
        <f aca="false">IF(L$5="A",Inputs_Actuals!L117,Assumptions!$C$126*Assumptions!L$211*Assumptions!$F$182)</f>
        <v>121000</v>
      </c>
      <c r="M8" s="62" t="n">
        <f aca="false">IF(M$5="A",Inputs_Actuals!M117,Assumptions!$C$126*Assumptions!M$211*Assumptions!$F$182)</f>
        <v>245440</v>
      </c>
      <c r="N8" s="62" t="n">
        <f aca="false">IF(N$5="A",Inputs_Actuals!N117,Assumptions!$C$126*Assumptions!N$211*Assumptions!$F$182)</f>
        <v>266240</v>
      </c>
      <c r="O8" s="62" t="n">
        <f aca="false">IF(O$5="A",Inputs_Actuals!O117,Assumptions!$C$126*Assumptions!O$211*Assumptions!$F$182)</f>
        <v>222560</v>
      </c>
      <c r="P8" s="62" t="n">
        <f aca="false">IF(P$5="A",Inputs_Actuals!P117,Assumptions!$C$126*Assumptions!P$211*Assumptions!$F$182)</f>
        <v>203840</v>
      </c>
      <c r="Q8" s="62" t="n">
        <f aca="false">IF(Q$5="A",Inputs_Actuals!Q117,Assumptions!$C$126*Assumptions!Q$211*Assumptions!$F$182)</f>
        <v>183040</v>
      </c>
      <c r="R8" s="62" t="n">
        <f aca="false">IF(R$5="A",Inputs_Actuals!R117,Assumptions!$C$126*Assumptions!R$211*Assumptions!$F$182)</f>
        <v>191360</v>
      </c>
      <c r="S8" s="62" t="n">
        <f aca="false">IF(S$5="A",Inputs_Actuals!S117,Assumptions!$C$126*Assumptions!S$211*Assumptions!$F$182)</f>
        <v>218400</v>
      </c>
      <c r="T8" s="62" t="n">
        <f aca="false">IF(T$5="A",Inputs_Actuals!T117,Assumptions!$C$126*Assumptions!T$211*Assumptions!$F$182)</f>
        <v>197600</v>
      </c>
      <c r="U8" s="62" t="n">
        <f aca="false">IF(U$5="A",Inputs_Actuals!U117,Assumptions!$C$126*Assumptions!U$211*Assumptions!$F$182)</f>
        <v>208000</v>
      </c>
      <c r="V8" s="62" t="n">
        <f aca="false">IF(V$5="A",Inputs_Actuals!V117,Assumptions!$C$126*Assumptions!V$211*Assumptions!$F$182)</f>
        <v>232960</v>
      </c>
      <c r="W8" s="62" t="n">
        <f aca="false">IF(W$5="A",Inputs_Actuals!W117,Assumptions!$C$126*Assumptions!W$211*Assumptions!$F$182)</f>
        <v>191360</v>
      </c>
      <c r="X8" s="62" t="n">
        <f aca="false">IF(X$5="A",Inputs_Actuals!X117,Assumptions!$C$126*Assumptions!X$211*Assumptions!$F$182)</f>
        <v>124800</v>
      </c>
      <c r="Y8" s="62" t="n">
        <f aca="false">IF(Y$5="A",Inputs_Actuals!Y117,Assumptions!$C$126*Assumptions!Y$211*Assumptions!$F$182)</f>
        <v>245440</v>
      </c>
      <c r="Z8" s="62" t="n">
        <f aca="false">IF(Z$5="A",Inputs_Actuals!Z117,Assumptions!$C$126*Assumptions!Z$211*Assumptions!$F$182)</f>
        <v>266240</v>
      </c>
      <c r="AA8" s="62" t="n">
        <f aca="false">IF(AA$5="A",Inputs_Actuals!AA117,Assumptions!$C$126*Assumptions!AA$211*Assumptions!$F$182)</f>
        <v>222560</v>
      </c>
      <c r="AB8" s="62" t="n">
        <f aca="false">IF(AB$5="A",Inputs_Actuals!AB117,Assumptions!$C$126*Assumptions!AB$211*Assumptions!$F$182)</f>
        <v>203840</v>
      </c>
    </row>
    <row r="9" customFormat="false" ht="15" hidden="false" customHeight="false" outlineLevel="0" collapsed="false">
      <c r="A9" s="27" t="s">
        <v>997</v>
      </c>
      <c r="B9" s="63" t="s">
        <v>998</v>
      </c>
      <c r="C9" s="66" t="n">
        <f aca="false">SUM(E9:P9)</f>
        <v>2191236.76</v>
      </c>
      <c r="D9" s="66" t="n">
        <f aca="false">SUM(Q9:AB9)</f>
        <v>2167443.2</v>
      </c>
      <c r="E9" s="67" t="n">
        <f aca="false">IF(E$5="A",Inputs_Actuals!E118,E8*(1-Assumptions!$F$183))</f>
        <v>161634</v>
      </c>
      <c r="F9" s="67" t="n">
        <f aca="false">IF(F$5="A",Inputs_Actuals!F118,F8*(1-Assumptions!$F$183))</f>
        <v>171587</v>
      </c>
      <c r="G9" s="67" t="n">
        <f aca="false">IF(G$5="A",Inputs_Actuals!G118,G8*(1-Assumptions!$F$183))</f>
        <v>195328</v>
      </c>
      <c r="H9" s="67" t="n">
        <f aca="false">IF(H$5="A",Inputs_Actuals!H118,H8*(1-Assumptions!$F$183))</f>
        <v>175473</v>
      </c>
      <c r="I9" s="67" t="n">
        <f aca="false">IF(I$5="A",Inputs_Actuals!I118,I8*(1-Assumptions!$F$183))</f>
        <v>184652</v>
      </c>
      <c r="J9" s="67" t="n">
        <f aca="false">IF(J$5="A",Inputs_Actuals!J118,J8*(1-Assumptions!$F$183))</f>
        <v>208012</v>
      </c>
      <c r="K9" s="67" t="n">
        <f aca="false">IF(K$5="A",Inputs_Actuals!K118,K8*(1-Assumptions!$F$183))</f>
        <v>170912</v>
      </c>
      <c r="L9" s="67" t="n">
        <f aca="false">IF(L$5="A",Inputs_Actuals!L118,L8*(1-Assumptions!$F$183))</f>
        <v>105633</v>
      </c>
      <c r="M9" s="67" t="n">
        <f aca="false">IF(M$5="A",Inputs_Actuals!M118,M8*(1-Assumptions!$F$183))</f>
        <v>214023.68</v>
      </c>
      <c r="N9" s="67" t="n">
        <f aca="false">IF(N$5="A",Inputs_Actuals!N118,N8*(1-Assumptions!$F$183))</f>
        <v>232161.28</v>
      </c>
      <c r="O9" s="67" t="n">
        <f aca="false">IF(O$5="A",Inputs_Actuals!O118,O8*(1-Assumptions!$F$183))</f>
        <v>194072.32</v>
      </c>
      <c r="P9" s="67" t="n">
        <f aca="false">IF(P$5="A",Inputs_Actuals!P118,P8*(1-Assumptions!$F$183))</f>
        <v>177748.48</v>
      </c>
      <c r="Q9" s="67" t="n">
        <f aca="false">IF(Q$5="A",Inputs_Actuals!Q118,Q8*(1-Assumptions!$F$183))</f>
        <v>159610.88</v>
      </c>
      <c r="R9" s="67" t="n">
        <f aca="false">IF(R$5="A",Inputs_Actuals!R118,R8*(1-Assumptions!$F$183))</f>
        <v>166865.92</v>
      </c>
      <c r="S9" s="67" t="n">
        <f aca="false">IF(S$5="A",Inputs_Actuals!S118,S8*(1-Assumptions!$F$183))</f>
        <v>190444.8</v>
      </c>
      <c r="T9" s="67" t="n">
        <f aca="false">IF(T$5="A",Inputs_Actuals!T118,T8*(1-Assumptions!$F$183))</f>
        <v>172307.2</v>
      </c>
      <c r="U9" s="67" t="n">
        <f aca="false">IF(U$5="A",Inputs_Actuals!U118,U8*(1-Assumptions!$F$183))</f>
        <v>181376</v>
      </c>
      <c r="V9" s="67" t="n">
        <f aca="false">IF(V$5="A",Inputs_Actuals!V118,V8*(1-Assumptions!$F$183))</f>
        <v>203141.12</v>
      </c>
      <c r="W9" s="67" t="n">
        <f aca="false">IF(W$5="A",Inputs_Actuals!W118,W8*(1-Assumptions!$F$183))</f>
        <v>166865.92</v>
      </c>
      <c r="X9" s="67" t="n">
        <f aca="false">IF(X$5="A",Inputs_Actuals!X118,X8*(1-Assumptions!$F$183))</f>
        <v>108825.6</v>
      </c>
      <c r="Y9" s="67" t="n">
        <f aca="false">IF(Y$5="A",Inputs_Actuals!Y118,Y8*(1-Assumptions!$F$183))</f>
        <v>214023.68</v>
      </c>
      <c r="Z9" s="67" t="n">
        <f aca="false">IF(Z$5="A",Inputs_Actuals!Z118,Z8*(1-Assumptions!$F$183))</f>
        <v>232161.28</v>
      </c>
      <c r="AA9" s="67" t="n">
        <f aca="false">IF(AA$5="A",Inputs_Actuals!AA118,AA8*(1-Assumptions!$F$183))</f>
        <v>194072.32</v>
      </c>
      <c r="AB9" s="67" t="n">
        <f aca="false">IF(AB$5="A",Inputs_Actuals!AB118,AB8*(1-Assumptions!$F$183))</f>
        <v>177748.48</v>
      </c>
    </row>
    <row r="10" customFormat="false" ht="15" hidden="false" customHeight="false" outlineLevel="0" collapsed="false">
      <c r="A10" s="27" t="s">
        <v>999</v>
      </c>
      <c r="B10" s="63"/>
      <c r="C10" s="66" t="n">
        <f aca="false">SUM(E10:P10)</f>
        <v>321843.24</v>
      </c>
      <c r="D10" s="66" t="n">
        <f aca="false">SUM(Q10:AB10)</f>
        <v>318156.8</v>
      </c>
      <c r="E10" s="76" t="n">
        <f aca="false">E8-E9</f>
        <v>24366</v>
      </c>
      <c r="F10" s="76" t="n">
        <f aca="false">F8-F9</f>
        <v>25413</v>
      </c>
      <c r="G10" s="76" t="n">
        <f aca="false">G8-G9</f>
        <v>28672</v>
      </c>
      <c r="H10" s="76" t="n">
        <f aca="false">H8-H9</f>
        <v>25527</v>
      </c>
      <c r="I10" s="76" t="n">
        <f aca="false">I8-I9</f>
        <v>27348</v>
      </c>
      <c r="J10" s="76" t="n">
        <f aca="false">J8-J9</f>
        <v>29988</v>
      </c>
      <c r="K10" s="76" t="n">
        <f aca="false">K8-K9</f>
        <v>25088</v>
      </c>
      <c r="L10" s="76" t="n">
        <f aca="false">L8-L9</f>
        <v>15367</v>
      </c>
      <c r="M10" s="76" t="n">
        <f aca="false">M8-M9</f>
        <v>31416.32</v>
      </c>
      <c r="N10" s="76" t="n">
        <f aca="false">N8-N9</f>
        <v>34078.72</v>
      </c>
      <c r="O10" s="76" t="n">
        <f aca="false">O8-O9</f>
        <v>28487.68</v>
      </c>
      <c r="P10" s="76" t="n">
        <f aca="false">P8-P9</f>
        <v>26091.52</v>
      </c>
      <c r="Q10" s="76" t="n">
        <f aca="false">Q8-Q9</f>
        <v>23429.12</v>
      </c>
      <c r="R10" s="76" t="n">
        <f aca="false">R8-R9</f>
        <v>24494.08</v>
      </c>
      <c r="S10" s="76" t="n">
        <f aca="false">S8-S9</f>
        <v>27955.2</v>
      </c>
      <c r="T10" s="76" t="n">
        <f aca="false">T8-T9</f>
        <v>25292.8</v>
      </c>
      <c r="U10" s="76" t="n">
        <f aca="false">U8-U9</f>
        <v>26624</v>
      </c>
      <c r="V10" s="76" t="n">
        <f aca="false">V8-V9</f>
        <v>29818.88</v>
      </c>
      <c r="W10" s="76" t="n">
        <f aca="false">W8-W9</f>
        <v>24494.08</v>
      </c>
      <c r="X10" s="76" t="n">
        <f aca="false">X8-X9</f>
        <v>15974.4</v>
      </c>
      <c r="Y10" s="76" t="n">
        <f aca="false">Y8-Y9</f>
        <v>31416.32</v>
      </c>
      <c r="Z10" s="76" t="n">
        <f aca="false">Z8-Z9</f>
        <v>34078.72</v>
      </c>
      <c r="AA10" s="76" t="n">
        <f aca="false">AA8-AA9</f>
        <v>28487.68</v>
      </c>
      <c r="AB10" s="76" t="n">
        <f aca="false">AB8-AB9</f>
        <v>26091.52</v>
      </c>
    </row>
    <row r="11" customFormat="false" ht="15" hidden="false" customHeight="false" outlineLevel="0" collapsed="false">
      <c r="A11" s="27" t="s">
        <v>1000</v>
      </c>
      <c r="B11" s="63"/>
      <c r="C11" s="65" t="n">
        <f aca="false">IF(C8=0,0,C10/C8)</f>
        <v>0.128067248157639</v>
      </c>
      <c r="D11" s="65" t="n">
        <f aca="false">IF(D8=0,0,D10/D8)</f>
        <v>0.128</v>
      </c>
      <c r="E11" s="79" t="n">
        <f aca="false">IF(E8=0,0,E10/E8)</f>
        <v>0.131</v>
      </c>
      <c r="F11" s="79" t="n">
        <f aca="false">IF(F8=0,0,F10/F8)</f>
        <v>0.129</v>
      </c>
      <c r="G11" s="79" t="n">
        <f aca="false">IF(G8=0,0,G10/G8)</f>
        <v>0.128</v>
      </c>
      <c r="H11" s="79" t="n">
        <f aca="false">IF(H8=0,0,H10/H8)</f>
        <v>0.127</v>
      </c>
      <c r="I11" s="79" t="n">
        <f aca="false">IF(I8=0,0,I10/I8)</f>
        <v>0.129</v>
      </c>
      <c r="J11" s="79" t="n">
        <f aca="false">IF(J8=0,0,J10/J8)</f>
        <v>0.126</v>
      </c>
      <c r="K11" s="79" t="n">
        <f aca="false">IF(K8=0,0,K10/K8)</f>
        <v>0.128</v>
      </c>
      <c r="L11" s="79" t="n">
        <f aca="false">IF(L8=0,0,L10/L8)</f>
        <v>0.127</v>
      </c>
      <c r="M11" s="79" t="n">
        <f aca="false">IF(M8=0,0,M10/M8)</f>
        <v>0.128</v>
      </c>
      <c r="N11" s="79" t="n">
        <f aca="false">IF(N8=0,0,N10/N8)</f>
        <v>0.128</v>
      </c>
      <c r="O11" s="79" t="n">
        <f aca="false">IF(O8=0,0,O10/O8)</f>
        <v>0.128</v>
      </c>
      <c r="P11" s="79" t="n">
        <f aca="false">IF(P8=0,0,P10/P8)</f>
        <v>0.128</v>
      </c>
      <c r="Q11" s="79" t="n">
        <f aca="false">IF(Q8=0,0,Q10/Q8)</f>
        <v>0.128</v>
      </c>
      <c r="R11" s="79" t="n">
        <f aca="false">IF(R8=0,0,R10/R8)</f>
        <v>0.128</v>
      </c>
      <c r="S11" s="79" t="n">
        <f aca="false">IF(S8=0,0,S10/S8)</f>
        <v>0.128</v>
      </c>
      <c r="T11" s="79" t="n">
        <f aca="false">IF(T8=0,0,T10/T8)</f>
        <v>0.128</v>
      </c>
      <c r="U11" s="79" t="n">
        <f aca="false">IF(U8=0,0,U10/U8)</f>
        <v>0.128</v>
      </c>
      <c r="V11" s="79" t="n">
        <f aca="false">IF(V8=0,0,V10/V8)</f>
        <v>0.128</v>
      </c>
      <c r="W11" s="79" t="n">
        <f aca="false">IF(W8=0,0,W10/W8)</f>
        <v>0.128</v>
      </c>
      <c r="X11" s="79" t="n">
        <f aca="false">IF(X8=0,0,X10/X8)</f>
        <v>0.128</v>
      </c>
      <c r="Y11" s="79" t="n">
        <f aca="false">IF(Y8=0,0,Y10/Y8)</f>
        <v>0.128</v>
      </c>
      <c r="Z11" s="79" t="n">
        <f aca="false">IF(Z8=0,0,Z10/Z8)</f>
        <v>0.128</v>
      </c>
      <c r="AA11" s="79" t="n">
        <f aca="false">IF(AA8=0,0,AA10/AA8)</f>
        <v>0.128</v>
      </c>
      <c r="AB11" s="79" t="n">
        <f aca="false">IF(AB8=0,0,AB10/AB8)</f>
        <v>0.128</v>
      </c>
    </row>
    <row r="12" customFormat="false" ht="15" hidden="false" customHeight="false" outlineLevel="0" collapsed="false">
      <c r="A12" s="27" t="s">
        <v>1001</v>
      </c>
      <c r="B12" s="63" t="s">
        <v>57</v>
      </c>
      <c r="C12" s="66" t="n">
        <f aca="false">SUM(E12:P12)</f>
        <v>32625.1694564516</v>
      </c>
      <c r="D12" s="66" t="n">
        <f aca="false">SUM(Q12:AB12)</f>
        <v>32511.648</v>
      </c>
      <c r="E12" s="67" t="n">
        <f aca="false">Rebates!E13</f>
        <v>2085.58</v>
      </c>
      <c r="F12" s="67" t="n">
        <f aca="false">Rebates!F13</f>
        <v>2609.27</v>
      </c>
      <c r="G12" s="67" t="n">
        <f aca="false">Rebates!G13</f>
        <v>3163.67</v>
      </c>
      <c r="H12" s="67" t="n">
        <f aca="false">Rebates!H13</f>
        <v>2553.48</v>
      </c>
      <c r="I12" s="67" t="n">
        <f aca="false">Rebates!I13</f>
        <v>2662.02</v>
      </c>
      <c r="J12" s="67" t="n">
        <f aca="false">Rebates!J13</f>
        <v>3327.43</v>
      </c>
      <c r="K12" s="67" t="n">
        <f aca="false">Rebates!K13</f>
        <v>2326.49</v>
      </c>
      <c r="L12" s="67" t="n">
        <f aca="false">Rebates!L13</f>
        <v>1214.18</v>
      </c>
      <c r="M12" s="67" t="n">
        <f aca="false">Rebates!M13</f>
        <v>3917.38141</v>
      </c>
      <c r="N12" s="67" t="n">
        <f aca="false">Rebates!N13</f>
        <v>3556.95888516129</v>
      </c>
      <c r="O12" s="67" t="n">
        <f aca="false">Rebates!O13</f>
        <v>2696.88559483871</v>
      </c>
      <c r="P12" s="67" t="n">
        <f aca="false">Rebates!P13</f>
        <v>2511.82356645161</v>
      </c>
      <c r="Q12" s="67" t="n">
        <f aca="false">Rebates!Q13</f>
        <v>2271.29558709677</v>
      </c>
      <c r="R12" s="67" t="n">
        <f aca="false">Rebates!R13</f>
        <v>2673.24820645161</v>
      </c>
      <c r="S12" s="67" t="n">
        <f aca="false">Rebates!S13</f>
        <v>2895.28753548387</v>
      </c>
      <c r="T12" s="67" t="n">
        <f aca="false">Rebates!T13</f>
        <v>2500.64846451613</v>
      </c>
      <c r="U12" s="67" t="n">
        <f aca="false">Rebates!U13</f>
        <v>2743.16572903226</v>
      </c>
      <c r="V12" s="67" t="n">
        <f aca="false">Rebates!V13</f>
        <v>3240.42851096774</v>
      </c>
      <c r="W12" s="67" t="n">
        <f aca="false">Rebates!W13</f>
        <v>2211.38299870968</v>
      </c>
      <c r="X12" s="67" t="n">
        <f aca="false">Rebates!X13</f>
        <v>1239.20763870968</v>
      </c>
      <c r="Y12" s="67" t="n">
        <f aca="false">Rebates!Y13</f>
        <v>3971.31528258065</v>
      </c>
      <c r="Z12" s="67" t="n">
        <f aca="false">Rebates!Z13</f>
        <v>3556.95888516129</v>
      </c>
      <c r="AA12" s="67" t="n">
        <f aca="false">Rebates!AA13</f>
        <v>2696.88559483871</v>
      </c>
      <c r="AB12" s="67" t="n">
        <f aca="false">Rebates!AB13</f>
        <v>2511.82356645161</v>
      </c>
    </row>
    <row r="13" customFormat="false" ht="15" hidden="false" customHeight="false" outlineLevel="0" collapsed="false">
      <c r="A13" s="59" t="s">
        <v>1002</v>
      </c>
      <c r="B13" s="60"/>
      <c r="C13" s="61" t="n">
        <f aca="false">SUM(E13:P13)</f>
        <v>2158611.59054355</v>
      </c>
      <c r="D13" s="61" t="n">
        <f aca="false">SUM(Q13:AB13)</f>
        <v>2134931.552</v>
      </c>
      <c r="E13" s="61" t="n">
        <f aca="false">E9-E12</f>
        <v>159548.42</v>
      </c>
      <c r="F13" s="61" t="n">
        <f aca="false">F9-F12</f>
        <v>168977.73</v>
      </c>
      <c r="G13" s="61" t="n">
        <f aca="false">G9-G12</f>
        <v>192164.33</v>
      </c>
      <c r="H13" s="61" t="n">
        <f aca="false">H9-H12</f>
        <v>172919.52</v>
      </c>
      <c r="I13" s="61" t="n">
        <f aca="false">I9-I12</f>
        <v>181989.98</v>
      </c>
      <c r="J13" s="61" t="n">
        <f aca="false">J9-J12</f>
        <v>204684.57</v>
      </c>
      <c r="K13" s="61" t="n">
        <f aca="false">K9-K12</f>
        <v>168585.51</v>
      </c>
      <c r="L13" s="61" t="n">
        <f aca="false">L9-L12</f>
        <v>104418.82</v>
      </c>
      <c r="M13" s="61" t="n">
        <f aca="false">M9-M12</f>
        <v>210106.29859</v>
      </c>
      <c r="N13" s="61" t="n">
        <f aca="false">N9-N12</f>
        <v>228604.321114839</v>
      </c>
      <c r="O13" s="61" t="n">
        <f aca="false">O9-O12</f>
        <v>191375.434405161</v>
      </c>
      <c r="P13" s="61" t="n">
        <f aca="false">P9-P12</f>
        <v>175236.656433548</v>
      </c>
      <c r="Q13" s="61" t="n">
        <f aca="false">Q9-Q12</f>
        <v>157339.584412903</v>
      </c>
      <c r="R13" s="61" t="n">
        <f aca="false">R9-R12</f>
        <v>164192.671793548</v>
      </c>
      <c r="S13" s="61" t="n">
        <f aca="false">S9-S12</f>
        <v>187549.512464516</v>
      </c>
      <c r="T13" s="61" t="n">
        <f aca="false">T9-T12</f>
        <v>169806.551535484</v>
      </c>
      <c r="U13" s="61" t="n">
        <f aca="false">U9-U12</f>
        <v>178632.834270968</v>
      </c>
      <c r="V13" s="61" t="n">
        <f aca="false">V9-V12</f>
        <v>199900.691489032</v>
      </c>
      <c r="W13" s="61" t="n">
        <f aca="false">W9-W12</f>
        <v>164654.53700129</v>
      </c>
      <c r="X13" s="61" t="n">
        <f aca="false">X9-X12</f>
        <v>107586.39236129</v>
      </c>
      <c r="Y13" s="61" t="n">
        <f aca="false">Y9-Y12</f>
        <v>210052.364717419</v>
      </c>
      <c r="Z13" s="61" t="n">
        <f aca="false">Z9-Z12</f>
        <v>228604.321114839</v>
      </c>
      <c r="AA13" s="61" t="n">
        <f aca="false">AA9-AA12</f>
        <v>191375.434405161</v>
      </c>
      <c r="AB13" s="61" t="n">
        <f aca="false">AB9-AB12</f>
        <v>175236.656433548</v>
      </c>
    </row>
    <row r="14" customFormat="false" ht="15" hidden="false" customHeight="false" outlineLevel="0" collapsed="false">
      <c r="A14" s="27" t="s">
        <v>1003</v>
      </c>
      <c r="B14" s="63"/>
      <c r="C14" s="66" t="n">
        <f aca="false">SUM(E14:P14)</f>
        <v>354468.409456452</v>
      </c>
      <c r="D14" s="66" t="n">
        <f aca="false">SUM(Q14:AB14)</f>
        <v>350668.448</v>
      </c>
      <c r="E14" s="76" t="n">
        <f aca="false">E8-E13</f>
        <v>26451.58</v>
      </c>
      <c r="F14" s="76" t="n">
        <f aca="false">F8-F13</f>
        <v>28022.27</v>
      </c>
      <c r="G14" s="76" t="n">
        <f aca="false">G8-G13</f>
        <v>31835.67</v>
      </c>
      <c r="H14" s="76" t="n">
        <f aca="false">H8-H13</f>
        <v>28080.48</v>
      </c>
      <c r="I14" s="76" t="n">
        <f aca="false">I8-I13</f>
        <v>30010.02</v>
      </c>
      <c r="J14" s="76" t="n">
        <f aca="false">J8-J13</f>
        <v>33315.43</v>
      </c>
      <c r="K14" s="76" t="n">
        <f aca="false">K8-K13</f>
        <v>27414.49</v>
      </c>
      <c r="L14" s="76" t="n">
        <f aca="false">L8-L13</f>
        <v>16581.18</v>
      </c>
      <c r="M14" s="76" t="n">
        <f aca="false">M8-M13</f>
        <v>35333.70141</v>
      </c>
      <c r="N14" s="76" t="n">
        <f aca="false">N8-N13</f>
        <v>37635.6788851613</v>
      </c>
      <c r="O14" s="76" t="n">
        <f aca="false">O8-O13</f>
        <v>31184.5655948387</v>
      </c>
      <c r="P14" s="76" t="n">
        <f aca="false">P8-P13</f>
        <v>28603.3435664516</v>
      </c>
      <c r="Q14" s="76" t="n">
        <f aca="false">Q8-Q13</f>
        <v>25700.4155870968</v>
      </c>
      <c r="R14" s="76" t="n">
        <f aca="false">R8-R13</f>
        <v>27167.3282064516</v>
      </c>
      <c r="S14" s="76" t="n">
        <f aca="false">S8-S13</f>
        <v>30850.4875354839</v>
      </c>
      <c r="T14" s="76" t="n">
        <f aca="false">T8-T13</f>
        <v>27793.4484645161</v>
      </c>
      <c r="U14" s="76" t="n">
        <f aca="false">U8-U13</f>
        <v>29367.1657290322</v>
      </c>
      <c r="V14" s="76" t="n">
        <f aca="false">V8-V13</f>
        <v>33059.3085109677</v>
      </c>
      <c r="W14" s="76" t="n">
        <f aca="false">W8-W13</f>
        <v>26705.4629987097</v>
      </c>
      <c r="X14" s="76" t="n">
        <f aca="false">X8-X13</f>
        <v>17213.6076387097</v>
      </c>
      <c r="Y14" s="76" t="n">
        <f aca="false">Y8-Y13</f>
        <v>35387.6352825807</v>
      </c>
      <c r="Z14" s="76" t="n">
        <f aca="false">Z8-Z13</f>
        <v>37635.6788851613</v>
      </c>
      <c r="AA14" s="76" t="n">
        <f aca="false">AA8-AA13</f>
        <v>31184.5655948387</v>
      </c>
      <c r="AB14" s="76" t="n">
        <f aca="false">AB8-AB13</f>
        <v>28603.3435664516</v>
      </c>
    </row>
    <row r="15" customFormat="false" ht="15" hidden="false" customHeight="false" outlineLevel="0" collapsed="false">
      <c r="A15" s="27" t="s">
        <v>1004</v>
      </c>
      <c r="B15" s="63"/>
      <c r="C15" s="65" t="n">
        <f aca="false">IF(C8=0,0,C14/C8)</f>
        <v>0.141049393356539</v>
      </c>
      <c r="D15" s="65" t="n">
        <f aca="false">IF(D8=0,0,D14/D8)</f>
        <v>0.14108</v>
      </c>
      <c r="E15" s="79" t="n">
        <f aca="false">IF(E8=0,0,E14/E8)</f>
        <v>0.142212795698925</v>
      </c>
      <c r="F15" s="79" t="n">
        <f aca="false">IF(F8=0,0,F14/F8)</f>
        <v>0.142245025380711</v>
      </c>
      <c r="G15" s="79" t="n">
        <f aca="false">IF(G8=0,0,G14/G8)</f>
        <v>0.142123526785714</v>
      </c>
      <c r="H15" s="79" t="n">
        <f aca="false">IF(H8=0,0,H14/H8)</f>
        <v>0.139703880597015</v>
      </c>
      <c r="I15" s="79" t="n">
        <f aca="false">IF(I8=0,0,I14/I8)</f>
        <v>0.141556698113208</v>
      </c>
      <c r="J15" s="79" t="n">
        <f aca="false">IF(J8=0,0,J14/J8)</f>
        <v>0.139980798319328</v>
      </c>
      <c r="K15" s="79" t="n">
        <f aca="false">IF(K8=0,0,K14/K8)</f>
        <v>0.139869846938775</v>
      </c>
      <c r="L15" s="79" t="n">
        <f aca="false">IF(L8=0,0,L14/L8)</f>
        <v>0.137034545454545</v>
      </c>
      <c r="M15" s="79" t="n">
        <f aca="false">IF(M8=0,0,M14/M8)</f>
        <v>0.14396064785691</v>
      </c>
      <c r="N15" s="79" t="n">
        <f aca="false">IF(N8=0,0,N14/N8)</f>
        <v>0.141359971774194</v>
      </c>
      <c r="O15" s="79" t="n">
        <f aca="false">IF(O8=0,0,O14/O8)</f>
        <v>0.140117566475731</v>
      </c>
      <c r="P15" s="79" t="n">
        <f aca="false">IF(P8=0,0,P14/P8)</f>
        <v>0.140322525345622</v>
      </c>
      <c r="Q15" s="79" t="n">
        <f aca="false">IF(Q8=0,0,Q14/Q8)</f>
        <v>0.140408739002933</v>
      </c>
      <c r="R15" s="79" t="n">
        <f aca="false">IF(R8=0,0,R14/R8)</f>
        <v>0.141969733520337</v>
      </c>
      <c r="S15" s="79" t="n">
        <f aca="false">IF(S8=0,0,S14/S8)</f>
        <v>0.141256811059908</v>
      </c>
      <c r="T15" s="79" t="n">
        <f aca="false">IF(T8=0,0,T14/T8)</f>
        <v>0.140655103565365</v>
      </c>
      <c r="U15" s="79" t="n">
        <f aca="false">IF(U8=0,0,U14/U8)</f>
        <v>0.141188296774194</v>
      </c>
      <c r="V15" s="79" t="n">
        <f aca="false">IF(V8=0,0,V14/V8)</f>
        <v>0.141909806451613</v>
      </c>
      <c r="W15" s="79" t="n">
        <f aca="false">IF(W8=0,0,W14/W8)</f>
        <v>0.139556140252454</v>
      </c>
      <c r="X15" s="79" t="n">
        <f aca="false">IF(X8=0,0,X14/X8)</f>
        <v>0.137929548387097</v>
      </c>
      <c r="Y15" s="79" t="n">
        <f aca="false">IF(Y8=0,0,Y14/Y8)</f>
        <v>0.144180391470749</v>
      </c>
      <c r="Z15" s="79" t="n">
        <f aca="false">IF(Z8=0,0,Z14/Z8)</f>
        <v>0.141359971774194</v>
      </c>
      <c r="AA15" s="79" t="n">
        <f aca="false">IF(AA8=0,0,AA14/AA8)</f>
        <v>0.140117566475731</v>
      </c>
      <c r="AB15" s="79" t="n">
        <f aca="false">IF(AB8=0,0,AB14/AB8)</f>
        <v>0.140322525345622</v>
      </c>
    </row>
    <row r="16" customFormat="false" ht="15" hidden="false" customHeight="false" outlineLevel="0" collapsed="false">
      <c r="A16" s="59" t="s">
        <v>1005</v>
      </c>
      <c r="B16" s="60" t="s">
        <v>1006</v>
      </c>
      <c r="C16" s="61" t="n">
        <f aca="false">P16</f>
        <v>80273.5070967742</v>
      </c>
      <c r="D16" s="61" t="n">
        <f aca="false">AB16</f>
        <v>80273.5070967742</v>
      </c>
      <c r="E16" s="62" t="n">
        <f aca="false">IF(E$5="A",Inputs_Actuals!E119,E9*Assumptions!$C$128/Assumptions!E$205)</f>
        <v>73904.6</v>
      </c>
      <c r="F16" s="62" t="n">
        <f aca="false">IF(F$5="A",Inputs_Actuals!F119,F9*Assumptions!$C$128/Assumptions!F$205)</f>
        <v>76268.62</v>
      </c>
      <c r="G16" s="62" t="n">
        <f aca="false">IF(G$5="A",Inputs_Actuals!G119,G9*Assumptions!$C$128/Assumptions!G$205)</f>
        <v>91851.66</v>
      </c>
      <c r="H16" s="62" t="n">
        <f aca="false">IF(H$5="A",Inputs_Actuals!H119,H9*Assumptions!$C$128/Assumptions!H$205)</f>
        <v>86610.7</v>
      </c>
      <c r="I16" s="62" t="n">
        <f aca="false">IF(I$5="A",Inputs_Actuals!I119,I9*Assumptions!$C$128/Assumptions!I$205)</f>
        <v>79426.39</v>
      </c>
      <c r="J16" s="62" t="n">
        <f aca="false">IF(J$5="A",Inputs_Actuals!J119,J9*Assumptions!$C$128/Assumptions!J$205)</f>
        <v>93242.97</v>
      </c>
      <c r="K16" s="62" t="n">
        <f aca="false">IF(K$5="A",Inputs_Actuals!K119,K9*Assumptions!$C$128/Assumptions!K$205)</f>
        <v>77430.33</v>
      </c>
      <c r="L16" s="62" t="n">
        <f aca="false">IF(L$5="A",Inputs_Actuals!L119,L9*Assumptions!$C$128/Assumptions!L$205)</f>
        <v>52742.81</v>
      </c>
      <c r="M16" s="62" t="n">
        <f aca="false">IF(M$5="A",Inputs_Actuals!M119,M9*Assumptions!$C$128/Assumptions!M$205)</f>
        <v>99877.7173333333</v>
      </c>
      <c r="N16" s="62" t="n">
        <f aca="false">IF(N$5="A",Inputs_Actuals!N119,N9*Assumptions!$C$128/Assumptions!N$205)</f>
        <v>104847.029677419</v>
      </c>
      <c r="O16" s="62" t="n">
        <f aca="false">IF(O$5="A",Inputs_Actuals!O119,O9*Assumptions!$C$128/Assumptions!O$205)</f>
        <v>90567.0826666667</v>
      </c>
      <c r="P16" s="62" t="n">
        <f aca="false">IF(P$5="A",Inputs_Actuals!P119,P9*Assumptions!$C$128/Assumptions!P$205)</f>
        <v>80273.5070967742</v>
      </c>
      <c r="Q16" s="62" t="n">
        <f aca="false">IF(Q$5="A",Inputs_Actuals!Q119,Q9*Assumptions!$C$128/Assumptions!Q$205)</f>
        <v>72082.3329032258</v>
      </c>
      <c r="R16" s="62" t="n">
        <f aca="false">IF(R$5="A",Inputs_Actuals!R119,R9*Assumptions!$C$128/Assumptions!R$205)</f>
        <v>83432.96</v>
      </c>
      <c r="S16" s="62" t="n">
        <f aca="false">IF(S$5="A",Inputs_Actuals!S119,S9*Assumptions!$C$128/Assumptions!S$205)</f>
        <v>86007.3290322581</v>
      </c>
      <c r="T16" s="62" t="n">
        <f aca="false">IF(T$5="A",Inputs_Actuals!T119,T9*Assumptions!$C$128/Assumptions!T$205)</f>
        <v>80410.0266666667</v>
      </c>
      <c r="U16" s="62" t="n">
        <f aca="false">IF(U$5="A",Inputs_Actuals!U119,U9*Assumptions!$C$128/Assumptions!U$205)</f>
        <v>81911.7419354839</v>
      </c>
      <c r="V16" s="62" t="n">
        <f aca="false">IF(V$5="A",Inputs_Actuals!V119,V9*Assumptions!$C$128/Assumptions!V$205)</f>
        <v>94799.1893333333</v>
      </c>
      <c r="W16" s="62" t="n">
        <f aca="false">IF(W$5="A",Inputs_Actuals!W119,W9*Assumptions!$C$128/Assumptions!W$205)</f>
        <v>75358.8025806452</v>
      </c>
      <c r="X16" s="62" t="n">
        <f aca="false">IF(X$5="A",Inputs_Actuals!X119,X9*Assumptions!$C$128/Assumptions!X$205)</f>
        <v>49147.0451612903</v>
      </c>
      <c r="Y16" s="62" t="n">
        <f aca="false">IF(Y$5="A",Inputs_Actuals!Y119,Y9*Assumptions!$C$128/Assumptions!Y$205)</f>
        <v>99877.7173333333</v>
      </c>
      <c r="Z16" s="62" t="n">
        <f aca="false">IF(Z$5="A",Inputs_Actuals!Z119,Z9*Assumptions!$C$128/Assumptions!Z$205)</f>
        <v>104847.029677419</v>
      </c>
      <c r="AA16" s="62" t="n">
        <f aca="false">IF(AA$5="A",Inputs_Actuals!AA119,AA9*Assumptions!$C$128/Assumptions!AA$205)</f>
        <v>90567.0826666667</v>
      </c>
      <c r="AB16" s="62" t="n">
        <f aca="false">IF(AB$5="A",Inputs_Actuals!AB119,AB9*Assumptions!$C$128/Assumptions!AB$205)</f>
        <v>80273.5070967742</v>
      </c>
    </row>
    <row r="17" customFormat="false" ht="15" hidden="false" customHeight="false" outlineLevel="0" collapsed="false">
      <c r="A17" s="27" t="s">
        <v>1007</v>
      </c>
      <c r="B17" s="63" t="s">
        <v>1008</v>
      </c>
      <c r="C17" s="66" t="n">
        <f aca="false">SUM(E17:P17)</f>
        <v>2175010.26709677</v>
      </c>
      <c r="D17" s="66" t="n">
        <f aca="false">SUM(Q17:AB17)</f>
        <v>2167443.2</v>
      </c>
      <c r="E17" s="67" t="n">
        <f aca="false">E9+E16-Inputs_Actuals!$C$281</f>
        <v>139038.6</v>
      </c>
      <c r="F17" s="76" t="n">
        <f aca="false">F9+F16-E16</f>
        <v>173951.02</v>
      </c>
      <c r="G17" s="76" t="n">
        <f aca="false">G9+G16-F16</f>
        <v>210911.04</v>
      </c>
      <c r="H17" s="76" t="n">
        <f aca="false">H9+H16-G16</f>
        <v>170232.04</v>
      </c>
      <c r="I17" s="76" t="n">
        <f aca="false">I9+I16-H16</f>
        <v>177467.69</v>
      </c>
      <c r="J17" s="76" t="n">
        <f aca="false">J9+J16-I16</f>
        <v>221828.58</v>
      </c>
      <c r="K17" s="76" t="n">
        <f aca="false">K9+K16-J16</f>
        <v>155099.36</v>
      </c>
      <c r="L17" s="76" t="n">
        <f aca="false">L9+L16-K16</f>
        <v>80945.48</v>
      </c>
      <c r="M17" s="76" t="n">
        <f aca="false">M9+M16-L16</f>
        <v>261158.587333333</v>
      </c>
      <c r="N17" s="76" t="n">
        <f aca="false">N9+N16-M16</f>
        <v>237130.592344086</v>
      </c>
      <c r="O17" s="76" t="n">
        <f aca="false">O9+O16-N16</f>
        <v>179792.372989247</v>
      </c>
      <c r="P17" s="76" t="n">
        <f aca="false">P9+P16-O16</f>
        <v>167454.904430108</v>
      </c>
      <c r="Q17" s="76" t="n">
        <f aca="false">Q9+Q16-P16</f>
        <v>151419.705806452</v>
      </c>
      <c r="R17" s="76" t="n">
        <f aca="false">R9+R16-Q16</f>
        <v>178216.547096774</v>
      </c>
      <c r="S17" s="76" t="n">
        <f aca="false">S9+S16-R16</f>
        <v>193019.169032258</v>
      </c>
      <c r="T17" s="76" t="n">
        <f aca="false">T9+T16-S16</f>
        <v>166709.897634409</v>
      </c>
      <c r="U17" s="76" t="n">
        <f aca="false">U9+U16-T16</f>
        <v>182877.715268817</v>
      </c>
      <c r="V17" s="76" t="n">
        <f aca="false">V9+V16-U16</f>
        <v>216028.56739785</v>
      </c>
      <c r="W17" s="76" t="n">
        <f aca="false">W9+W16-V16</f>
        <v>147425.533247312</v>
      </c>
      <c r="X17" s="76" t="n">
        <f aca="false">X9+X16-W16</f>
        <v>82613.8425806452</v>
      </c>
      <c r="Y17" s="76" t="n">
        <f aca="false">Y9+Y16-X16</f>
        <v>264754.352172043</v>
      </c>
      <c r="Z17" s="76" t="n">
        <f aca="false">Z9+Z16-Y16</f>
        <v>237130.592344086</v>
      </c>
      <c r="AA17" s="76" t="n">
        <f aca="false">AA9+AA16-Z16</f>
        <v>179792.372989247</v>
      </c>
      <c r="AB17" s="76" t="n">
        <f aca="false">AB9+AB16-AA16</f>
        <v>167454.904430108</v>
      </c>
    </row>
    <row r="18" customFormat="false" ht="15" hidden="false" customHeight="false" outlineLevel="0" collapsed="false">
      <c r="A18" s="27" t="s">
        <v>1009</v>
      </c>
      <c r="B18" s="63" t="s">
        <v>1010</v>
      </c>
      <c r="C18" s="66" t="n">
        <f aca="false">SUM(E18:P18)</f>
        <v>301569.6</v>
      </c>
      <c r="D18" s="66" t="n">
        <f aca="false">SUM(Q18:AB18)</f>
        <v>298272</v>
      </c>
      <c r="E18" s="67" t="n">
        <f aca="false">E8*Assumptions!$C$127</f>
        <v>22320</v>
      </c>
      <c r="F18" s="67" t="n">
        <f aca="false">F8*Assumptions!$C$127</f>
        <v>23640</v>
      </c>
      <c r="G18" s="67" t="n">
        <f aca="false">G8*Assumptions!$C$127</f>
        <v>26880</v>
      </c>
      <c r="H18" s="67" t="n">
        <f aca="false">H8*Assumptions!$C$127</f>
        <v>24120</v>
      </c>
      <c r="I18" s="67" t="n">
        <f aca="false">I8*Assumptions!$C$127</f>
        <v>25440</v>
      </c>
      <c r="J18" s="67" t="n">
        <f aca="false">J8*Assumptions!$C$127</f>
        <v>28560</v>
      </c>
      <c r="K18" s="67" t="n">
        <f aca="false">K8*Assumptions!$C$127</f>
        <v>23520</v>
      </c>
      <c r="L18" s="67" t="n">
        <f aca="false">L8*Assumptions!$C$127</f>
        <v>14520</v>
      </c>
      <c r="M18" s="67" t="n">
        <f aca="false">M8*Assumptions!$C$127</f>
        <v>29452.8</v>
      </c>
      <c r="N18" s="67" t="n">
        <f aca="false">N8*Assumptions!$C$127</f>
        <v>31948.8</v>
      </c>
      <c r="O18" s="67" t="n">
        <f aca="false">O8*Assumptions!$C$127</f>
        <v>26707.2</v>
      </c>
      <c r="P18" s="67" t="n">
        <f aca="false">P8*Assumptions!$C$127</f>
        <v>24460.8</v>
      </c>
      <c r="Q18" s="67" t="n">
        <f aca="false">Q8*Assumptions!$C$127</f>
        <v>21964.8</v>
      </c>
      <c r="R18" s="67" t="n">
        <f aca="false">R8*Assumptions!$C$127</f>
        <v>22963.2</v>
      </c>
      <c r="S18" s="67" t="n">
        <f aca="false">S8*Assumptions!$C$127</f>
        <v>26208</v>
      </c>
      <c r="T18" s="67" t="n">
        <f aca="false">T8*Assumptions!$C$127</f>
        <v>23712</v>
      </c>
      <c r="U18" s="67" t="n">
        <f aca="false">U8*Assumptions!$C$127</f>
        <v>24960</v>
      </c>
      <c r="V18" s="67" t="n">
        <f aca="false">V8*Assumptions!$C$127</f>
        <v>27955.2</v>
      </c>
      <c r="W18" s="67" t="n">
        <f aca="false">W8*Assumptions!$C$127</f>
        <v>22963.2</v>
      </c>
      <c r="X18" s="67" t="n">
        <f aca="false">X8*Assumptions!$C$127</f>
        <v>14976</v>
      </c>
      <c r="Y18" s="67" t="n">
        <f aca="false">Y8*Assumptions!$C$127</f>
        <v>29452.8</v>
      </c>
      <c r="Z18" s="67" t="n">
        <f aca="false">Z8*Assumptions!$C$127</f>
        <v>31948.8</v>
      </c>
      <c r="AA18" s="67" t="n">
        <f aca="false">AA8*Assumptions!$C$127</f>
        <v>26707.2</v>
      </c>
      <c r="AB18" s="67" t="n">
        <f aca="false">AB8*Assumptions!$C$127</f>
        <v>24460.8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1011</v>
      </c>
    </row>
    <row r="3" customFormat="false" ht="15" hidden="false" customHeight="false" outlineLevel="0" collapsed="false">
      <c r="A3" s="50" t="s">
        <v>1012</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1013</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44</v>
      </c>
      <c r="B9" s="63" t="s">
        <v>1014</v>
      </c>
      <c r="C9" s="66" t="n">
        <f aca="false">SUM(E9:P9)</f>
        <v>822656.618564107</v>
      </c>
      <c r="D9" s="66" t="n">
        <f aca="false">SUM(Q9:AB9)</f>
        <v>935306.327999216</v>
      </c>
      <c r="E9" s="67" t="n">
        <f aca="false">IF(E$5="A",Inputs_Actuals!E108,Contracts!E161*Assumptions!$C$93*Assumptions!E$218)</f>
        <v>65799.8</v>
      </c>
      <c r="F9" s="67" t="n">
        <f aca="false">IF(F$5="A",Inputs_Actuals!F108,Contracts!F161*Assumptions!$C$93*Assumptions!F$218)</f>
        <v>66325.23</v>
      </c>
      <c r="G9" s="67" t="n">
        <f aca="false">IF(G$5="A",Inputs_Actuals!G108,Contracts!G161*Assumptions!$C$93*Assumptions!G$218)</f>
        <v>67699.56</v>
      </c>
      <c r="H9" s="67" t="n">
        <f aca="false">IF(H$5="A",Inputs_Actuals!H108,Contracts!H161*Assumptions!$C$93*Assumptions!H$218)</f>
        <v>67751.59</v>
      </c>
      <c r="I9" s="67" t="n">
        <f aca="false">IF(I$5="A",Inputs_Actuals!I108,Contracts!I161*Assumptions!$C$93*Assumptions!I$218)</f>
        <v>66519.66</v>
      </c>
      <c r="J9" s="67" t="n">
        <f aca="false">IF(J$5="A",Inputs_Actuals!J108,Contracts!J161*Assumptions!$C$93*Assumptions!J$218)</f>
        <v>66724.48</v>
      </c>
      <c r="K9" s="67" t="n">
        <f aca="false">IF(K$5="A",Inputs_Actuals!K108,Contracts!K161*Assumptions!$C$93*Assumptions!K$218)</f>
        <v>68703.74</v>
      </c>
      <c r="L9" s="67" t="n">
        <f aca="false">IF(L$5="A",Inputs_Actuals!L108,Contracts!L161*Assumptions!$C$93*Assumptions!L$218)</f>
        <v>68767.83</v>
      </c>
      <c r="M9" s="67" t="n">
        <f aca="false">IF(M$5="A",Inputs_Actuals!M108,Contracts!M161*Assumptions!$C$93*Assumptions!M$218)</f>
        <v>69001.588575</v>
      </c>
      <c r="N9" s="67" t="n">
        <f aca="false">IF(N$5="A",Inputs_Actuals!N108,Contracts!N161*Assumptions!$C$93*Assumptions!N$218)</f>
        <v>68717.428153615</v>
      </c>
      <c r="O9" s="67" t="n">
        <f aca="false">IF(O$5="A",Inputs_Actuals!O108,Contracts!O161*Assumptions!$C$93*Assumptions!O$218)</f>
        <v>73337.6334730909</v>
      </c>
      <c r="P9" s="67" t="n">
        <f aca="false">IF(P$5="A",Inputs_Actuals!P108,Contracts!P161*Assumptions!$C$93*Assumptions!P$218)</f>
        <v>73308.0783624015</v>
      </c>
      <c r="Q9" s="67" t="n">
        <f aca="false">IF(Q$5="A",Inputs_Actuals!Q108,Contracts!Q161*Assumptions!$C$93*Assumptions!Q$218)</f>
        <v>76597.0091167134</v>
      </c>
      <c r="R9" s="67" t="n">
        <f aca="false">IF(R$5="A",Inputs_Actuals!R108,Contracts!R161*Assumptions!$C$93*Assumptions!R$218)</f>
        <v>77793.7839561549</v>
      </c>
      <c r="S9" s="67" t="n">
        <f aca="false">IF(S$5="A",Inputs_Actuals!S108,Contracts!S161*Assumptions!$C$93*Assumptions!S$218)</f>
        <v>77201.2995466204</v>
      </c>
      <c r="T9" s="67" t="n">
        <f aca="false">IF(T$5="A",Inputs_Actuals!T108,Contracts!T161*Assumptions!$C$93*Assumptions!T$218)</f>
        <v>77916.63861467</v>
      </c>
      <c r="U9" s="67" t="n">
        <f aca="false">IF(U$5="A",Inputs_Actuals!U108,Contracts!U161*Assumptions!$C$93*Assumptions!U$218)</f>
        <v>78011.8873487942</v>
      </c>
      <c r="V9" s="67" t="n">
        <f aca="false">IF(V$5="A",Inputs_Actuals!V108,Contracts!V161*Assumptions!$C$93*Assumptions!V$218)</f>
        <v>78193.659581152</v>
      </c>
      <c r="W9" s="67" t="n">
        <f aca="false">IF(W$5="A",Inputs_Actuals!W108,Contracts!W161*Assumptions!$C$93*Assumptions!W$218)</f>
        <v>78304.0055613229</v>
      </c>
      <c r="X9" s="67" t="n">
        <f aca="false">IF(X$5="A",Inputs_Actuals!X108,Contracts!X161*Assumptions!$C$93*Assumptions!X$218)</f>
        <v>77970.5265964455</v>
      </c>
      <c r="Y9" s="67" t="n">
        <f aca="false">IF(Y$5="A",Inputs_Actuals!Y108,Contracts!Y161*Assumptions!$C$93*Assumptions!Y$218)</f>
        <v>78152.3798286132</v>
      </c>
      <c r="Z9" s="67" t="n">
        <f aca="false">IF(Z$5="A",Inputs_Actuals!Z108,Contracts!Z161*Assumptions!$C$93*Assumptions!Z$218)</f>
        <v>78278.4326559107</v>
      </c>
      <c r="AA9" s="67" t="n">
        <f aca="false">IF(AA$5="A",Inputs_Actuals!AA108,Contracts!AA161*Assumptions!$C$93*Assumptions!AA$218)</f>
        <v>78351.904466104</v>
      </c>
      <c r="AB9" s="67" t="n">
        <f aca="false">IF(AB$5="A",Inputs_Actuals!AB108,Contracts!AB161*Assumptions!$C$93*Assumptions!AB$218)</f>
        <v>78534.8007267144</v>
      </c>
    </row>
    <row r="10" customFormat="false" ht="15" hidden="false" customHeight="false" outlineLevel="0" collapsed="false">
      <c r="A10" s="27" t="s">
        <v>1015</v>
      </c>
      <c r="B10" s="63" t="s">
        <v>1016</v>
      </c>
      <c r="C10" s="66" t="n">
        <f aca="false">SUM(E10:P10)</f>
        <v>693705.988007759</v>
      </c>
      <c r="D10" s="66" t="n">
        <f aca="false">SUM(Q10:AB10)</f>
        <v>789307.291433484</v>
      </c>
      <c r="E10" s="67" t="n">
        <f aca="false">IF(E$5="A",Inputs_Actuals!E109,Contracts!E161*Assumptions!$C$93*Assumptions!E$219)</f>
        <v>55539.59</v>
      </c>
      <c r="F10" s="67" t="n">
        <f aca="false">IF(F$5="A",Inputs_Actuals!F109,Contracts!F161*Assumptions!$C$93*Assumptions!F$219)</f>
        <v>55723.08</v>
      </c>
      <c r="G10" s="67" t="n">
        <f aca="false">IF(G$5="A",Inputs_Actuals!G109,Contracts!G161*Assumptions!$C$93*Assumptions!G$219)</f>
        <v>57075.79</v>
      </c>
      <c r="H10" s="67" t="n">
        <f aca="false">IF(H$5="A",Inputs_Actuals!H109,Contracts!H161*Assumptions!$C$93*Assumptions!H$219)</f>
        <v>57176.08</v>
      </c>
      <c r="I10" s="67" t="n">
        <f aca="false">IF(I$5="A",Inputs_Actuals!I109,Contracts!I161*Assumptions!$C$93*Assumptions!I$219)</f>
        <v>56180.58</v>
      </c>
      <c r="J10" s="67" t="n">
        <f aca="false">IF(J$5="A",Inputs_Actuals!J109,Contracts!J161*Assumptions!$C$93*Assumptions!J$219)</f>
        <v>56178.4</v>
      </c>
      <c r="K10" s="67" t="n">
        <f aca="false">IF(K$5="A",Inputs_Actuals!K109,Contracts!K161*Assumptions!$C$93*Assumptions!K$219)</f>
        <v>57775.93</v>
      </c>
      <c r="L10" s="67" t="n">
        <f aca="false">IF(L$5="A",Inputs_Actuals!L109,Contracts!L161*Assumptions!$C$93*Assumptions!L$219)</f>
        <v>58080.45</v>
      </c>
      <c r="M10" s="67" t="n">
        <f aca="false">IF(M$5="A",Inputs_Actuals!M109,Contracts!M161*Assumptions!$C$93*Assumptions!M$219)</f>
        <v>58230.608895</v>
      </c>
      <c r="N10" s="67" t="n">
        <f aca="false">IF(N$5="A",Inputs_Actuals!N109,Contracts!N161*Assumptions!$C$93*Assumptions!N$219)</f>
        <v>57990.805222319</v>
      </c>
      <c r="O10" s="67" t="n">
        <f aca="false">IF(O$5="A",Inputs_Actuals!O109,Contracts!O161*Assumptions!$C$93*Assumptions!O$219)</f>
        <v>61889.8077602181</v>
      </c>
      <c r="P10" s="67" t="n">
        <f aca="false">IF(P$5="A",Inputs_Actuals!P109,Contracts!P161*Assumptions!$C$93*Assumptions!P$219)</f>
        <v>61864.8661302217</v>
      </c>
      <c r="Q10" s="67" t="n">
        <f aca="false">IF(Q$5="A",Inputs_Actuals!Q109,Contracts!Q161*Assumptions!$C$93*Assumptions!Q$219)</f>
        <v>64640.4028155679</v>
      </c>
      <c r="R10" s="67" t="n">
        <f aca="false">IF(R$5="A",Inputs_Actuals!R109,Contracts!R161*Assumptions!$C$93*Assumptions!R$219)</f>
        <v>65650.3640215356</v>
      </c>
      <c r="S10" s="67" t="n">
        <f aca="false">IF(S$5="A",Inputs_Actuals!S109,Contracts!S161*Assumptions!$C$93*Assumptions!S$219)</f>
        <v>65150.3649832455</v>
      </c>
      <c r="T10" s="67" t="n">
        <f aca="false">IF(T$5="A",Inputs_Actuals!T109,Contracts!T161*Assumptions!$C$93*Assumptions!T$219)</f>
        <v>65754.041367502</v>
      </c>
      <c r="U10" s="67" t="n">
        <f aca="false">IF(U$5="A",Inputs_Actuals!U109,Contracts!U161*Assumptions!$C$93*Assumptions!U$219)</f>
        <v>65834.4220065434</v>
      </c>
      <c r="V10" s="67" t="n">
        <f aca="false">IF(V$5="A",Inputs_Actuals!V109,Contracts!V161*Assumptions!$C$93*Assumptions!V$219)</f>
        <v>65987.8200367771</v>
      </c>
      <c r="W10" s="67" t="n">
        <f aca="false">IF(W$5="A",Inputs_Actuals!W109,Contracts!W161*Assumptions!$C$93*Assumptions!W$219)</f>
        <v>66080.9412785798</v>
      </c>
      <c r="X10" s="67" t="n">
        <f aca="false">IF(X$5="A",Inputs_Actuals!X109,Contracts!X161*Assumptions!$C$93*Assumptions!X$219)</f>
        <v>65799.5175667565</v>
      </c>
      <c r="Y10" s="67" t="n">
        <f aca="false">IF(Y$5="A",Inputs_Actuals!Y109,Contracts!Y161*Assumptions!$C$93*Assumptions!Y$219)</f>
        <v>65952.9839529272</v>
      </c>
      <c r="Z10" s="67" t="n">
        <f aca="false">IF(Z$5="A",Inputs_Actuals!Z109,Contracts!Z161*Assumptions!$C$93*Assumptions!Z$219)</f>
        <v>66059.3602413295</v>
      </c>
      <c r="AA10" s="67" t="n">
        <f aca="false">IF(AA$5="A",Inputs_Actuals!AA109,Contracts!AA161*Assumptions!$C$93*Assumptions!AA$219)</f>
        <v>66121.3632811512</v>
      </c>
      <c r="AB10" s="67" t="n">
        <f aca="false">IF(AB$5="A",Inputs_Actuals!AB109,Contracts!AB161*Assumptions!$C$93*Assumptions!AB$219)</f>
        <v>66275.7098815687</v>
      </c>
    </row>
    <row r="11" customFormat="false" ht="15" hidden="false" customHeight="false" outlineLevel="0" collapsed="false">
      <c r="A11" s="21" t="s">
        <v>1017</v>
      </c>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row>
    <row r="12" customFormat="false" ht="15" hidden="false" customHeight="false" outlineLevel="0" collapsed="false">
      <c r="A12" s="27" t="s">
        <v>1018</v>
      </c>
      <c r="B12" s="63" t="s">
        <v>1019</v>
      </c>
      <c r="C12" s="66" t="n">
        <f aca="false">SUM(E12:P12)</f>
        <v>412560</v>
      </c>
      <c r="D12" s="66" t="n">
        <f aca="false">SUM(Q12:AB12)</f>
        <v>429062.4</v>
      </c>
      <c r="E12" s="67" t="n">
        <f aca="false">IF(E$5="A",Inputs_Actuals!E115,History!$C$45*(1+Assumptions!$F$184))</f>
        <v>243500</v>
      </c>
      <c r="F12" s="67" t="n">
        <f aca="false">IF(F$5="A",Inputs_Actuals!F115,History!$D$45*(1+Assumptions!$F$184))</f>
        <v>13100</v>
      </c>
      <c r="G12" s="67" t="n">
        <f aca="false">IF(G$5="A",Inputs_Actuals!G115,History!$E$45*(1+Assumptions!$F$184))</f>
        <v>19200</v>
      </c>
      <c r="H12" s="67" t="n">
        <f aca="false">IF(H$5="A",Inputs_Actuals!H115,History!$F$45*(1+Assumptions!$F$184))</f>
        <v>14900</v>
      </c>
      <c r="I12" s="67" t="n">
        <f aca="false">IF(I$5="A",Inputs_Actuals!I115,History!$G$45*(1+Assumptions!$F$184))</f>
        <v>9600</v>
      </c>
      <c r="J12" s="67" t="n">
        <f aca="false">IF(J$5="A",Inputs_Actuals!J115,History!$H$45*(1+Assumptions!$F$184))</f>
        <v>17300</v>
      </c>
      <c r="K12" s="67" t="n">
        <f aca="false">IF(K$5="A",Inputs_Actuals!K115,History!$I$45*(1+Assumptions!$F$184))</f>
        <v>11600</v>
      </c>
      <c r="L12" s="67" t="n">
        <f aca="false">IF(L$5="A",Inputs_Actuals!L115,History!$J$45*(1+Assumptions!$F$184))</f>
        <v>6400</v>
      </c>
      <c r="M12" s="67" t="n">
        <f aca="false">IF(M$5="A",Inputs_Actuals!M115,History!$K$45*(1+Assumptions!$F$184))</f>
        <v>22880</v>
      </c>
      <c r="N12" s="67" t="n">
        <f aca="false">IF(N$5="A",Inputs_Actuals!N115,History!$L$45*(1+Assumptions!$F$184))</f>
        <v>15600</v>
      </c>
      <c r="O12" s="67" t="n">
        <f aca="false">IF(O$5="A",Inputs_Actuals!O115,History!$M$45*(1+Assumptions!$F$184))</f>
        <v>12480</v>
      </c>
      <c r="P12" s="67" t="n">
        <f aca="false">IF(P$5="A",Inputs_Actuals!P115,History!$N$45*(1+Assumptions!$F$184))</f>
        <v>26000</v>
      </c>
      <c r="Q12" s="67" t="n">
        <f aca="false">IF(Q$5="A",Inputs_Actuals!Q115,E12*(1+Assumptions!$F$184))</f>
        <v>253240</v>
      </c>
      <c r="R12" s="67" t="n">
        <f aca="false">IF(R$5="A",Inputs_Actuals!R115,F12*(1+Assumptions!$F$184))</f>
        <v>13624</v>
      </c>
      <c r="S12" s="67" t="n">
        <f aca="false">IF(S$5="A",Inputs_Actuals!S115,G12*(1+Assumptions!$F$184))</f>
        <v>19968</v>
      </c>
      <c r="T12" s="67" t="n">
        <f aca="false">IF(T$5="A",Inputs_Actuals!T115,H12*(1+Assumptions!$F$184))</f>
        <v>15496</v>
      </c>
      <c r="U12" s="67" t="n">
        <f aca="false">IF(U$5="A",Inputs_Actuals!U115,I12*(1+Assumptions!$F$184))</f>
        <v>9984</v>
      </c>
      <c r="V12" s="67" t="n">
        <f aca="false">IF(V$5="A",Inputs_Actuals!V115,J12*(1+Assumptions!$F$184))</f>
        <v>17992</v>
      </c>
      <c r="W12" s="67" t="n">
        <f aca="false">IF(W$5="A",Inputs_Actuals!W115,K12*(1+Assumptions!$F$184))</f>
        <v>12064</v>
      </c>
      <c r="X12" s="67" t="n">
        <f aca="false">IF(X$5="A",Inputs_Actuals!X115,L12*(1+Assumptions!$F$184))</f>
        <v>6656</v>
      </c>
      <c r="Y12" s="67" t="n">
        <f aca="false">IF(Y$5="A",Inputs_Actuals!Y115,M12*(1+Assumptions!$F$184))</f>
        <v>23795.2</v>
      </c>
      <c r="Z12" s="67" t="n">
        <f aca="false">IF(Z$5="A",Inputs_Actuals!Z115,N12*(1+Assumptions!$F$184))</f>
        <v>16224</v>
      </c>
      <c r="AA12" s="67" t="n">
        <f aca="false">IF(AA$5="A",Inputs_Actuals!AA115,O12*(1+Assumptions!$F$184))</f>
        <v>12979.2</v>
      </c>
      <c r="AB12" s="67" t="n">
        <f aca="false">IF(AB$5="A",Inputs_Actuals!AB115,P12*(1+Assumptions!$F$184))</f>
        <v>27040</v>
      </c>
    </row>
    <row r="13" customFormat="false" ht="15" hidden="false" customHeight="false" outlineLevel="0" collapsed="false">
      <c r="A13" s="59" t="s">
        <v>1020</v>
      </c>
      <c r="B13" s="60"/>
      <c r="C13" s="61" t="n">
        <f aca="false">SUM(E13:P13)</f>
        <v>408415</v>
      </c>
      <c r="D13" s="61" t="n">
        <f aca="false">SUM(Q13:AB13)</f>
        <v>425496.6</v>
      </c>
      <c r="E13" s="62" t="n">
        <f aca="false">(SUM(History!$D$45:$N$45)+SUM(E12:E12))/12</f>
        <v>33625</v>
      </c>
      <c r="F13" s="62" t="n">
        <f aca="false">(SUM(History!$E$45:$N$45)+SUM(E12:F12))/12</f>
        <v>33716.6666666667</v>
      </c>
      <c r="G13" s="62" t="n">
        <f aca="false">(SUM(History!$F$45:$N$45)+SUM(E12:G12))/12</f>
        <v>33816.6666666667</v>
      </c>
      <c r="H13" s="62" t="n">
        <f aca="false">(SUM(History!$G$45:$N$45)+SUM(E12:H12))/12</f>
        <v>33891.6666666667</v>
      </c>
      <c r="I13" s="62" t="n">
        <f aca="false">(SUM(History!$H$45:$N$45)+SUM(E12:I12))/12</f>
        <v>33941.6666666667</v>
      </c>
      <c r="J13" s="62" t="n">
        <f aca="false">(SUM(History!$I$45:$N$45)+SUM(E12:J12))/12</f>
        <v>34050</v>
      </c>
      <c r="K13" s="62" t="n">
        <f aca="false">(SUM(History!$J$45:$N$45)+SUM(E12:K12))/12</f>
        <v>34100</v>
      </c>
      <c r="L13" s="62" t="n">
        <f aca="false">(SUM(History!$K$45:$N$45)+SUM(E12:L12))/12</f>
        <v>34133.3333333333</v>
      </c>
      <c r="M13" s="62" t="n">
        <f aca="false">(SUM(History!$L$45:$N$45)+SUM(E12:M12))/12</f>
        <v>34206.6666666667</v>
      </c>
      <c r="N13" s="62" t="n">
        <f aca="false">(SUM(History!$M$45:$N$45)+SUM(E12:N12))/12</f>
        <v>34256.6666666667</v>
      </c>
      <c r="O13" s="62" t="n">
        <f aca="false">(SUM(History!$N$45:$N$45)+SUM(E12:O12))/12</f>
        <v>34296.6666666667</v>
      </c>
      <c r="P13" s="61" t="n">
        <f aca="false">(SUM(E12:P12))/12</f>
        <v>34380</v>
      </c>
      <c r="Q13" s="61" t="n">
        <f aca="false">(SUM(F12:Q12))/12</f>
        <v>35191.6666666667</v>
      </c>
      <c r="R13" s="61" t="n">
        <f aca="false">(SUM(G12:R12))/12</f>
        <v>35235.3333333333</v>
      </c>
      <c r="S13" s="61" t="n">
        <f aca="false">(SUM(H12:S12))/12</f>
        <v>35299.3333333333</v>
      </c>
      <c r="T13" s="61" t="n">
        <f aca="false">(SUM(I12:T12))/12</f>
        <v>35349</v>
      </c>
      <c r="U13" s="61" t="n">
        <f aca="false">(SUM(J12:U12))/12</f>
        <v>35381</v>
      </c>
      <c r="V13" s="61" t="n">
        <f aca="false">(SUM(K12:V12))/12</f>
        <v>35438.6666666667</v>
      </c>
      <c r="W13" s="61" t="n">
        <f aca="false">(SUM(L12:W12))/12</f>
        <v>35477.3333333333</v>
      </c>
      <c r="X13" s="61" t="n">
        <f aca="false">(SUM(M12:X12))/12</f>
        <v>35498.6666666667</v>
      </c>
      <c r="Y13" s="61" t="n">
        <f aca="false">(SUM(N12:Y12))/12</f>
        <v>35574.9333333333</v>
      </c>
      <c r="Z13" s="61" t="n">
        <f aca="false">(SUM(O12:Z12))/12</f>
        <v>35626.9333333333</v>
      </c>
      <c r="AA13" s="61" t="n">
        <f aca="false">(SUM(P12:AA12))/12</f>
        <v>35668.5333333333</v>
      </c>
      <c r="AB13" s="61" t="n">
        <f aca="false">(SUM(Q12:AB12))/12</f>
        <v>35755.2</v>
      </c>
    </row>
    <row r="14" customFormat="false" ht="15" hidden="false" customHeight="false" outlineLevel="0" collapsed="false">
      <c r="A14" s="59" t="s">
        <v>1021</v>
      </c>
      <c r="B14" s="60" t="s">
        <v>1022</v>
      </c>
      <c r="C14" s="61" t="n">
        <f aca="false">P14</f>
        <v>89145</v>
      </c>
      <c r="D14" s="61" t="n">
        <f aca="false">AB14</f>
        <v>92710.8000000001</v>
      </c>
      <c r="E14" s="62" t="n">
        <f aca="false">Inputs_Actuals!$C$297+E12-E13</f>
        <v>294875</v>
      </c>
      <c r="F14" s="61" t="n">
        <f aca="false">E14+F12-F13</f>
        <v>274258.333333333</v>
      </c>
      <c r="G14" s="61" t="n">
        <f aca="false">F14+G12-G13</f>
        <v>259641.666666667</v>
      </c>
      <c r="H14" s="61" t="n">
        <f aca="false">G14+H12-H13</f>
        <v>240650</v>
      </c>
      <c r="I14" s="61" t="n">
        <f aca="false">H14+I12-I13</f>
        <v>216308.333333333</v>
      </c>
      <c r="J14" s="61" t="n">
        <f aca="false">I14+J12-J13</f>
        <v>199558.333333333</v>
      </c>
      <c r="K14" s="61" t="n">
        <f aca="false">J14+K12-K13</f>
        <v>177058.333333333</v>
      </c>
      <c r="L14" s="61" t="n">
        <f aca="false">K14+L12-L13</f>
        <v>149325</v>
      </c>
      <c r="M14" s="61" t="n">
        <f aca="false">L14+M12-M13</f>
        <v>137998.333333333</v>
      </c>
      <c r="N14" s="61" t="n">
        <f aca="false">M14+N12-N13</f>
        <v>119341.666666667</v>
      </c>
      <c r="O14" s="61" t="n">
        <f aca="false">N14+O12-O13</f>
        <v>97525</v>
      </c>
      <c r="P14" s="61" t="n">
        <f aca="false">O14+P12-P13</f>
        <v>89145</v>
      </c>
      <c r="Q14" s="61" t="n">
        <f aca="false">P14+Q12-Q13</f>
        <v>307193.333333333</v>
      </c>
      <c r="R14" s="61" t="n">
        <f aca="false">Q14+R12-R13</f>
        <v>285582</v>
      </c>
      <c r="S14" s="61" t="n">
        <f aca="false">R14+S12-S13</f>
        <v>270250.666666667</v>
      </c>
      <c r="T14" s="61" t="n">
        <f aca="false">S14+T12-T13</f>
        <v>250397.666666667</v>
      </c>
      <c r="U14" s="61" t="n">
        <f aca="false">T14+U12-U13</f>
        <v>225000.666666667</v>
      </c>
      <c r="V14" s="61" t="n">
        <f aca="false">U14+V12-V13</f>
        <v>207554</v>
      </c>
      <c r="W14" s="61" t="n">
        <f aca="false">V14+W12-W13</f>
        <v>184140.666666667</v>
      </c>
      <c r="X14" s="61" t="n">
        <f aca="false">W14+X12-X13</f>
        <v>155298</v>
      </c>
      <c r="Y14" s="61" t="n">
        <f aca="false">X14+Y12-Y13</f>
        <v>143518.266666667</v>
      </c>
      <c r="Z14" s="61" t="n">
        <f aca="false">Y14+Z12-Z13</f>
        <v>124115.333333333</v>
      </c>
      <c r="AA14" s="61" t="n">
        <f aca="false">Z14+AA12-AA13</f>
        <v>101426</v>
      </c>
      <c r="AB14" s="61" t="n">
        <f aca="false">AA14+AB12-AB13</f>
        <v>92710.8000000001</v>
      </c>
    </row>
    <row r="15" customFormat="false" ht="15" hidden="false" customHeight="false" outlineLevel="0" collapsed="false">
      <c r="A15" s="27" t="s">
        <v>1023</v>
      </c>
      <c r="B15" s="63" t="s">
        <v>883</v>
      </c>
      <c r="C15" s="66" t="n">
        <f aca="false">P15</f>
        <v>89145</v>
      </c>
      <c r="D15" s="66" t="n">
        <f aca="false">AB15</f>
        <v>92710.8</v>
      </c>
      <c r="E15" s="67" t="n">
        <f aca="false">(History!$E$45*1+History!$F$45*2+History!$G$45*3+History!$H$45*4+History!$I$45*5+History!$J$45*6+History!$K$45*7+History!$L$45*8+History!$M$45*9+History!$N$45*10+E12*11)/12</f>
        <v>294875</v>
      </c>
      <c r="F15" s="67" t="n">
        <f aca="false">(History!$F$45*1+History!$G$45*2+History!$H$45*3+History!$I$45*4+History!$J$45*5+History!$K$45*6+History!$L$45*7+History!$M$45*8+History!$N$45*9+E12*10+F12*11)/12</f>
        <v>274258.333333333</v>
      </c>
      <c r="G15" s="67" t="n">
        <f aca="false">(History!$G$45*1+History!$H$45*2+History!$I$45*3+History!$J$45*4+History!$K$45*5+History!$L$45*6+History!$M$45*7+History!$N$45*8+E12*9+F12*10+G12*11)/12</f>
        <v>259641.666666667</v>
      </c>
      <c r="H15" s="67" t="n">
        <f aca="false">(History!$H$45*1+History!$I$45*2+History!$J$45*3+History!$K$45*4+History!$L$45*5+History!$M$45*6+History!$N$45*7+E12*8+F12*9+G12*10+H12*11)/12</f>
        <v>240650</v>
      </c>
      <c r="I15" s="67" t="n">
        <f aca="false">(History!$I$45*1+History!$J$45*2+History!$K$45*3+History!$L$45*4+History!$M$45*5+History!$N$45*6+E12*7+F12*8+G12*9+H12*10+I12*11)/12</f>
        <v>216308.333333333</v>
      </c>
      <c r="J15" s="67" t="n">
        <f aca="false">(History!$J$45*1+History!$K$45*2+History!$L$45*3+History!$M$45*4+History!$N$45*5+E12*6+F12*7+G12*8+H12*9+I12*10+J12*11)/12</f>
        <v>199558.333333333</v>
      </c>
      <c r="K15" s="67" t="n">
        <f aca="false">(History!$K$45*1+History!$L$45*2+History!$M$45*3+History!$N$45*4+E12*5+F12*6+G12*7+H12*8+I12*9+J12*10+K12*11)/12</f>
        <v>177058.333333333</v>
      </c>
      <c r="L15" s="67" t="n">
        <f aca="false">(History!$L$45*1+History!$M$45*2+History!$N$45*3+E12*4+F12*5+G12*6+H12*7+I12*8+J12*9+K12*10+L12*11)/12</f>
        <v>149325</v>
      </c>
      <c r="M15" s="67" t="n">
        <f aca="false">(History!$M$45*1+History!$N$45*2+E12*3+F12*4+G12*5+H12*6+I12*7+J12*8+K12*9+L12*10+M12*11)/12</f>
        <v>137998.333333333</v>
      </c>
      <c r="N15" s="67" t="n">
        <f aca="false">(History!$N$45*1+E12*2+F12*3+G12*4+H12*5+I12*6+J12*7+K12*8+L12*9+M12*10+N12*11)/12</f>
        <v>119341.666666667</v>
      </c>
      <c r="O15" s="76" t="n">
        <f aca="false">(E12*1+F12*2+G12*3+H12*4+I12*5+J12*6+K12*7+L12*8+M12*9+N12*10+O12*11)/12</f>
        <v>97525</v>
      </c>
      <c r="P15" s="76" t="n">
        <f aca="false">(F12*1+G12*2+H12*3+I12*4+J12*5+K12*6+L12*7+M12*8+N12*9+O12*10+P12*11)/12</f>
        <v>89145</v>
      </c>
      <c r="Q15" s="76" t="n">
        <f aca="false">(G12*1+H12*2+I12*3+J12*4+K12*5+L12*6+M12*7+N12*8+O12*9+P12*10+Q12*11)/12</f>
        <v>307193.333333333</v>
      </c>
      <c r="R15" s="76" t="n">
        <f aca="false">(H12*1+I12*2+J12*3+K12*4+L12*5+M12*6+N12*7+O12*8+P12*9+Q12*10+R12*11)/12</f>
        <v>285582</v>
      </c>
      <c r="S15" s="76" t="n">
        <f aca="false">(I12*1+J12*2+K12*3+L12*4+M12*5+N12*6+O12*7+P12*8+Q12*9+R12*10+S12*11)/12</f>
        <v>270250.666666667</v>
      </c>
      <c r="T15" s="76" t="n">
        <f aca="false">(J12*1+K12*2+L12*3+M12*4+N12*5+O12*6+P12*7+Q12*8+R12*9+S12*10+T12*11)/12</f>
        <v>250397.666666667</v>
      </c>
      <c r="U15" s="76" t="n">
        <f aca="false">(K12*1+L12*2+M12*3+N12*4+O12*5+P12*6+Q12*7+R12*8+S12*9+T12*10+U12*11)/12</f>
        <v>225000.666666667</v>
      </c>
      <c r="V15" s="76" t="n">
        <f aca="false">(L12*1+M12*2+N12*3+O12*4+P12*5+Q12*6+R12*7+S12*8+T12*9+U12*10+V12*11)/12</f>
        <v>207554</v>
      </c>
      <c r="W15" s="76" t="n">
        <f aca="false">(M12*1+N12*2+O12*3+P12*4+Q12*5+R12*6+S12*7+T12*8+U12*9+V12*10+W12*11)/12</f>
        <v>184140.666666667</v>
      </c>
      <c r="X15" s="76" t="n">
        <f aca="false">(N12*1+O12*2+P12*3+Q12*4+R12*5+S12*6+T12*7+U12*8+V12*9+W12*10+X12*11)/12</f>
        <v>155298</v>
      </c>
      <c r="Y15" s="76" t="n">
        <f aca="false">(O12*1+P12*2+Q12*3+R12*4+S12*5+T12*6+U12*7+V12*8+W12*9+X12*10+Y12*11)/12</f>
        <v>143518.266666667</v>
      </c>
      <c r="Z15" s="76" t="n">
        <f aca="false">(P12*1+Q12*2+R12*3+S12*4+T12*5+U12*6+V12*7+W12*8+X12*9+Y12*10+Z12*11)/12</f>
        <v>124115.333333333</v>
      </c>
      <c r="AA15" s="76" t="n">
        <f aca="false">(Q12*1+R12*2+S12*3+T12*4+U12*5+V12*6+W12*7+X12*8+Y12*9+Z12*10+AA12*11)/12</f>
        <v>101426</v>
      </c>
      <c r="AB15" s="76" t="n">
        <f aca="false">(R12*1+S12*2+T12*3+U12*4+V12*5+W12*6+X12*7+Y12*8+Z12*9+AA12*10+AB12*11)/12</f>
        <v>92710.8</v>
      </c>
    </row>
    <row r="16" customFormat="false" ht="15" hidden="false" customHeight="false" outlineLevel="0" collapsed="false">
      <c r="A16" s="27" t="s">
        <v>884</v>
      </c>
      <c r="B16" s="63"/>
      <c r="C16" s="66" t="n">
        <f aca="false">SUM(E16:P16)</f>
        <v>0</v>
      </c>
      <c r="D16" s="66" t="n">
        <f aca="false">SUM(Q16:AB16)</f>
        <v>0</v>
      </c>
      <c r="E16" s="76" t="n">
        <f aca="false">ROUND(E14-E15,0)</f>
        <v>0</v>
      </c>
      <c r="F16" s="76" t="n">
        <f aca="false">ROUND(F14-F15,0)</f>
        <v>0</v>
      </c>
      <c r="G16" s="76" t="n">
        <f aca="false">ROUND(G14-G15,0)</f>
        <v>0</v>
      </c>
      <c r="H16" s="76" t="n">
        <f aca="false">ROUND(H14-H15,0)</f>
        <v>0</v>
      </c>
      <c r="I16" s="76" t="n">
        <f aca="false">ROUND(I14-I15,0)</f>
        <v>0</v>
      </c>
      <c r="J16" s="76" t="n">
        <f aca="false">ROUND(J14-J15,0)</f>
        <v>0</v>
      </c>
      <c r="K16" s="76" t="n">
        <f aca="false">ROUND(K14-K15,0)</f>
        <v>0</v>
      </c>
      <c r="L16" s="76" t="n">
        <f aca="false">ROUND(L14-L15,0)</f>
        <v>0</v>
      </c>
      <c r="M16" s="76" t="n">
        <f aca="false">ROUND(M14-M15,0)</f>
        <v>0</v>
      </c>
      <c r="N16" s="76" t="n">
        <f aca="false">ROUND(N14-N15,0)</f>
        <v>0</v>
      </c>
      <c r="O16" s="76" t="n">
        <f aca="false">ROUND(O14-O15,0)</f>
        <v>0</v>
      </c>
      <c r="P16" s="76" t="n">
        <f aca="false">ROUND(P14-P15,0)</f>
        <v>0</v>
      </c>
      <c r="Q16" s="76" t="n">
        <f aca="false">ROUND(Q14-Q15,0)</f>
        <v>0</v>
      </c>
      <c r="R16" s="76" t="n">
        <f aca="false">ROUND(R14-R15,0)</f>
        <v>0</v>
      </c>
      <c r="S16" s="76" t="n">
        <f aca="false">ROUND(S14-S15,0)</f>
        <v>0</v>
      </c>
      <c r="T16" s="76" t="n">
        <f aca="false">ROUND(T14-T15,0)</f>
        <v>0</v>
      </c>
      <c r="U16" s="76" t="n">
        <f aca="false">ROUND(U14-U15,0)</f>
        <v>0</v>
      </c>
      <c r="V16" s="76" t="n">
        <f aca="false">ROUND(V14-V15,0)</f>
        <v>0</v>
      </c>
      <c r="W16" s="76" t="n">
        <f aca="false">ROUND(W14-W15,0)</f>
        <v>0</v>
      </c>
      <c r="X16" s="76" t="n">
        <f aca="false">ROUND(X14-X15,0)</f>
        <v>0</v>
      </c>
      <c r="Y16" s="76" t="n">
        <f aca="false">ROUND(Y14-Y15,0)</f>
        <v>0</v>
      </c>
      <c r="Z16" s="76" t="n">
        <f aca="false">ROUND(Z14-Z15,0)</f>
        <v>0</v>
      </c>
      <c r="AA16" s="76" t="n">
        <f aca="false">ROUND(AA14-AA15,0)</f>
        <v>0</v>
      </c>
      <c r="AB16" s="76" t="n">
        <f aca="false">ROUND(AB14-AB15,0)</f>
        <v>0</v>
      </c>
    </row>
    <row r="17" customFormat="false" ht="15" hidden="false" customHeight="false" outlineLevel="0" collapsed="false">
      <c r="A17" s="27" t="s">
        <v>1024</v>
      </c>
      <c r="B17" s="63" t="s">
        <v>1025</v>
      </c>
      <c r="C17" s="66" t="n">
        <f aca="false">SUM(E17:P17)</f>
        <v>313545.6</v>
      </c>
      <c r="D17" s="66" t="n">
        <f aca="false">SUM(Q17:AB17)</f>
        <v>326087.424</v>
      </c>
      <c r="E17" s="67" t="n">
        <f aca="false">E12*(1-Assumptions!$C$119)</f>
        <v>185060</v>
      </c>
      <c r="F17" s="67" t="n">
        <f aca="false">F12*(1-Assumptions!$C$119)</f>
        <v>9956</v>
      </c>
      <c r="G17" s="67" t="n">
        <f aca="false">G12*(1-Assumptions!$C$119)</f>
        <v>14592</v>
      </c>
      <c r="H17" s="67" t="n">
        <f aca="false">H12*(1-Assumptions!$C$119)</f>
        <v>11324</v>
      </c>
      <c r="I17" s="67" t="n">
        <f aca="false">I12*(1-Assumptions!$C$119)</f>
        <v>7296</v>
      </c>
      <c r="J17" s="67" t="n">
        <f aca="false">J12*(1-Assumptions!$C$119)</f>
        <v>13148</v>
      </c>
      <c r="K17" s="67" t="n">
        <f aca="false">K12*(1-Assumptions!$C$119)</f>
        <v>8816</v>
      </c>
      <c r="L17" s="67" t="n">
        <f aca="false">L12*(1-Assumptions!$C$119)</f>
        <v>4864</v>
      </c>
      <c r="M17" s="67" t="n">
        <f aca="false">M12*(1-Assumptions!$C$119)</f>
        <v>17388.8</v>
      </c>
      <c r="N17" s="67" t="n">
        <f aca="false">N12*(1-Assumptions!$C$119)</f>
        <v>11856</v>
      </c>
      <c r="O17" s="67" t="n">
        <f aca="false">O12*(1-Assumptions!$C$119)</f>
        <v>9484.8</v>
      </c>
      <c r="P17" s="67" t="n">
        <f aca="false">P12*(1-Assumptions!$C$119)</f>
        <v>19760</v>
      </c>
      <c r="Q17" s="67" t="n">
        <f aca="false">Q12*(1-Assumptions!$C$119)</f>
        <v>192462.4</v>
      </c>
      <c r="R17" s="67" t="n">
        <f aca="false">R12*(1-Assumptions!$C$119)</f>
        <v>10354.24</v>
      </c>
      <c r="S17" s="67" t="n">
        <f aca="false">S12*(1-Assumptions!$C$119)</f>
        <v>15175.68</v>
      </c>
      <c r="T17" s="67" t="n">
        <f aca="false">T12*(1-Assumptions!$C$119)</f>
        <v>11776.96</v>
      </c>
      <c r="U17" s="67" t="n">
        <f aca="false">U12*(1-Assumptions!$C$119)</f>
        <v>7587.84</v>
      </c>
      <c r="V17" s="67" t="n">
        <f aca="false">V12*(1-Assumptions!$C$119)</f>
        <v>13673.92</v>
      </c>
      <c r="W17" s="67" t="n">
        <f aca="false">W12*(1-Assumptions!$C$119)</f>
        <v>9168.64</v>
      </c>
      <c r="X17" s="67" t="n">
        <f aca="false">X12*(1-Assumptions!$C$119)</f>
        <v>5058.56</v>
      </c>
      <c r="Y17" s="67" t="n">
        <f aca="false">Y12*(1-Assumptions!$C$119)</f>
        <v>18084.352</v>
      </c>
      <c r="Z17" s="67" t="n">
        <f aca="false">Z12*(1-Assumptions!$C$119)</f>
        <v>12330.24</v>
      </c>
      <c r="AA17" s="67" t="n">
        <f aca="false">AA12*(1-Assumptions!$C$119)</f>
        <v>9864.192</v>
      </c>
      <c r="AB17" s="67" t="n">
        <f aca="false">AB12*(1-Assumptions!$C$119)</f>
        <v>20550.4</v>
      </c>
    </row>
    <row r="18" customFormat="false" ht="15" hidden="false" customHeight="false" outlineLevel="0" collapsed="false">
      <c r="A18" s="27" t="s">
        <v>1026</v>
      </c>
      <c r="B18" s="63" t="s">
        <v>1027</v>
      </c>
      <c r="C18" s="66" t="n">
        <f aca="false">SUM(E18:P18)</f>
        <v>310395.4</v>
      </c>
      <c r="D18" s="66" t="n">
        <f aca="false">SUM(Q18:AB18)</f>
        <v>323377.416</v>
      </c>
      <c r="E18" s="67" t="n">
        <f aca="false">E13*(1-Assumptions!$C$119)</f>
        <v>25555</v>
      </c>
      <c r="F18" s="67" t="n">
        <f aca="false">F13*(1-Assumptions!$C$119)</f>
        <v>25624.6666666667</v>
      </c>
      <c r="G18" s="67" t="n">
        <f aca="false">G13*(1-Assumptions!$C$119)</f>
        <v>25700.6666666667</v>
      </c>
      <c r="H18" s="67" t="n">
        <f aca="false">H13*(1-Assumptions!$C$119)</f>
        <v>25757.6666666667</v>
      </c>
      <c r="I18" s="67" t="n">
        <f aca="false">I13*(1-Assumptions!$C$119)</f>
        <v>25795.6666666667</v>
      </c>
      <c r="J18" s="67" t="n">
        <f aca="false">J13*(1-Assumptions!$C$119)</f>
        <v>25878</v>
      </c>
      <c r="K18" s="67" t="n">
        <f aca="false">K13*(1-Assumptions!$C$119)</f>
        <v>25916</v>
      </c>
      <c r="L18" s="67" t="n">
        <f aca="false">L13*(1-Assumptions!$C$119)</f>
        <v>25941.3333333333</v>
      </c>
      <c r="M18" s="67" t="n">
        <f aca="false">M13*(1-Assumptions!$C$119)</f>
        <v>25997.0666666667</v>
      </c>
      <c r="N18" s="67" t="n">
        <f aca="false">N13*(1-Assumptions!$C$119)</f>
        <v>26035.0666666667</v>
      </c>
      <c r="O18" s="67" t="n">
        <f aca="false">O13*(1-Assumptions!$C$119)</f>
        <v>26065.4666666667</v>
      </c>
      <c r="P18" s="67" t="n">
        <f aca="false">P13*(1-Assumptions!$C$119)</f>
        <v>26128.8</v>
      </c>
      <c r="Q18" s="67" t="n">
        <f aca="false">Q13*(1-Assumptions!$C$119)</f>
        <v>26745.6666666667</v>
      </c>
      <c r="R18" s="67" t="n">
        <f aca="false">R13*(1-Assumptions!$C$119)</f>
        <v>26778.8533333333</v>
      </c>
      <c r="S18" s="67" t="n">
        <f aca="false">S13*(1-Assumptions!$C$119)</f>
        <v>26827.4933333333</v>
      </c>
      <c r="T18" s="67" t="n">
        <f aca="false">T13*(1-Assumptions!$C$119)</f>
        <v>26865.24</v>
      </c>
      <c r="U18" s="67" t="n">
        <f aca="false">U13*(1-Assumptions!$C$119)</f>
        <v>26889.56</v>
      </c>
      <c r="V18" s="67" t="n">
        <f aca="false">V13*(1-Assumptions!$C$119)</f>
        <v>26933.3866666667</v>
      </c>
      <c r="W18" s="67" t="n">
        <f aca="false">W13*(1-Assumptions!$C$119)</f>
        <v>26962.7733333333</v>
      </c>
      <c r="X18" s="67" t="n">
        <f aca="false">X13*(1-Assumptions!$C$119)</f>
        <v>26978.9866666667</v>
      </c>
      <c r="Y18" s="67" t="n">
        <f aca="false">Y13*(1-Assumptions!$C$119)</f>
        <v>27036.9493333333</v>
      </c>
      <c r="Z18" s="67" t="n">
        <f aca="false">Z13*(1-Assumptions!$C$119)</f>
        <v>27076.4693333333</v>
      </c>
      <c r="AA18" s="67" t="n">
        <f aca="false">AA13*(1-Assumptions!$C$119)</f>
        <v>27108.0853333333</v>
      </c>
      <c r="AB18" s="67" t="n">
        <f aca="false">AB13*(1-Assumptions!$C$119)</f>
        <v>27173.952</v>
      </c>
    </row>
    <row r="19" customFormat="false" ht="15" hidden="false" customHeight="false" outlineLevel="0" collapsed="false">
      <c r="A19" s="59" t="s">
        <v>1028</v>
      </c>
      <c r="B19" s="60" t="s">
        <v>1029</v>
      </c>
      <c r="C19" s="61" t="n">
        <f aca="false">P19</f>
        <v>67750.2</v>
      </c>
      <c r="D19" s="61" t="n">
        <f aca="false">AB19</f>
        <v>70460.208</v>
      </c>
      <c r="E19" s="62" t="n">
        <f aca="false">Inputs_Actuals!$C$282+E17-E18</f>
        <v>224105</v>
      </c>
      <c r="F19" s="61" t="n">
        <f aca="false">E19+F17-F18</f>
        <v>208436.333333333</v>
      </c>
      <c r="G19" s="61" t="n">
        <f aca="false">F19+G17-G18</f>
        <v>197327.666666667</v>
      </c>
      <c r="H19" s="61" t="n">
        <f aca="false">G19+H17-H18</f>
        <v>182894</v>
      </c>
      <c r="I19" s="61" t="n">
        <f aca="false">H19+I17-I18</f>
        <v>164394.333333333</v>
      </c>
      <c r="J19" s="61" t="n">
        <f aca="false">I19+J17-J18</f>
        <v>151664.333333333</v>
      </c>
      <c r="K19" s="61" t="n">
        <f aca="false">J19+K17-K18</f>
        <v>134564.333333333</v>
      </c>
      <c r="L19" s="61" t="n">
        <f aca="false">K19+L17-L18</f>
        <v>113487</v>
      </c>
      <c r="M19" s="61" t="n">
        <f aca="false">L19+M17-M18</f>
        <v>104878.733333333</v>
      </c>
      <c r="N19" s="61" t="n">
        <f aca="false">M19+N17-N18</f>
        <v>90699.6666666667</v>
      </c>
      <c r="O19" s="61" t="n">
        <f aca="false">N19+O17-O18</f>
        <v>74119</v>
      </c>
      <c r="P19" s="61" t="n">
        <f aca="false">O19+P17-P18</f>
        <v>67750.2</v>
      </c>
      <c r="Q19" s="61" t="n">
        <f aca="false">P19+Q17-Q18</f>
        <v>233466.933333333</v>
      </c>
      <c r="R19" s="61" t="n">
        <f aca="false">Q19+R17-R18</f>
        <v>217042.32</v>
      </c>
      <c r="S19" s="61" t="n">
        <f aca="false">R19+S17-S18</f>
        <v>205390.506666667</v>
      </c>
      <c r="T19" s="61" t="n">
        <f aca="false">S19+T17-T18</f>
        <v>190302.226666667</v>
      </c>
      <c r="U19" s="61" t="n">
        <f aca="false">T19+U17-U18</f>
        <v>171000.506666667</v>
      </c>
      <c r="V19" s="61" t="n">
        <f aca="false">U19+V17-V18</f>
        <v>157741.04</v>
      </c>
      <c r="W19" s="61" t="n">
        <f aca="false">V19+W17-W18</f>
        <v>139946.906666667</v>
      </c>
      <c r="X19" s="61" t="n">
        <f aca="false">W19+X17-X18</f>
        <v>118026.48</v>
      </c>
      <c r="Y19" s="61" t="n">
        <f aca="false">X19+Y17-Y18</f>
        <v>109073.882666667</v>
      </c>
      <c r="Z19" s="61" t="n">
        <f aca="false">Y19+Z17-Z18</f>
        <v>94327.6533333334</v>
      </c>
      <c r="AA19" s="61" t="n">
        <f aca="false">Z19+AA17-AA18</f>
        <v>77083.76</v>
      </c>
      <c r="AB19" s="61" t="n">
        <f aca="false">AA19+AB17-AB18</f>
        <v>70460.208</v>
      </c>
    </row>
    <row r="20" customFormat="false" ht="15" hidden="false" customHeight="false" outlineLevel="0" collapsed="false">
      <c r="A20" s="27" t="s">
        <v>1030</v>
      </c>
      <c r="B20" s="63"/>
      <c r="C20" s="66" t="n">
        <f aca="false">SUM(E20:P20)</f>
        <v>0</v>
      </c>
      <c r="D20" s="66" t="n">
        <f aca="false">SUM(Q20:AB20)</f>
        <v>0</v>
      </c>
      <c r="E20" s="67" t="n">
        <f aca="false">ROUND(E19-E14*(1-Assumptions!$C$119),0)</f>
        <v>0</v>
      </c>
      <c r="F20" s="67" t="n">
        <f aca="false">ROUND(F19-F14*(1-Assumptions!$C$119),0)</f>
        <v>0</v>
      </c>
      <c r="G20" s="67" t="n">
        <f aca="false">ROUND(G19-G14*(1-Assumptions!$C$119),0)</f>
        <v>0</v>
      </c>
      <c r="H20" s="67" t="n">
        <f aca="false">ROUND(H19-H14*(1-Assumptions!$C$119),0)</f>
        <v>0</v>
      </c>
      <c r="I20" s="67" t="n">
        <f aca="false">ROUND(I19-I14*(1-Assumptions!$C$119),0)</f>
        <v>0</v>
      </c>
      <c r="J20" s="67" t="n">
        <f aca="false">ROUND(J19-J14*(1-Assumptions!$C$119),0)</f>
        <v>0</v>
      </c>
      <c r="K20" s="67" t="n">
        <f aca="false">ROUND(K19-K14*(1-Assumptions!$C$119),0)</f>
        <v>0</v>
      </c>
      <c r="L20" s="67" t="n">
        <f aca="false">ROUND(L19-L14*(1-Assumptions!$C$119),0)</f>
        <v>0</v>
      </c>
      <c r="M20" s="67" t="n">
        <f aca="false">ROUND(M19-M14*(1-Assumptions!$C$119),0)</f>
        <v>0</v>
      </c>
      <c r="N20" s="67" t="n">
        <f aca="false">ROUND(N19-N14*(1-Assumptions!$C$119),0)</f>
        <v>0</v>
      </c>
      <c r="O20" s="67" t="n">
        <f aca="false">ROUND(O19-O14*(1-Assumptions!$C$119),0)</f>
        <v>0</v>
      </c>
      <c r="P20" s="67" t="n">
        <f aca="false">ROUND(P19-P14*(1-Assumptions!$C$119),0)</f>
        <v>0</v>
      </c>
      <c r="Q20" s="67" t="n">
        <f aca="false">ROUND(Q19-Q14*(1-Assumptions!$C$119),0)</f>
        <v>0</v>
      </c>
      <c r="R20" s="67" t="n">
        <f aca="false">ROUND(R19-R14*(1-Assumptions!$C$119),0)</f>
        <v>0</v>
      </c>
      <c r="S20" s="67" t="n">
        <f aca="false">ROUND(S19-S14*(1-Assumptions!$C$119),0)</f>
        <v>0</v>
      </c>
      <c r="T20" s="67" t="n">
        <f aca="false">ROUND(T19-T14*(1-Assumptions!$C$119),0)</f>
        <v>0</v>
      </c>
      <c r="U20" s="67" t="n">
        <f aca="false">ROUND(U19-U14*(1-Assumptions!$C$119),0)</f>
        <v>0</v>
      </c>
      <c r="V20" s="67" t="n">
        <f aca="false">ROUND(V19-V14*(1-Assumptions!$C$119),0)</f>
        <v>0</v>
      </c>
      <c r="W20" s="67" t="n">
        <f aca="false">ROUND(W19-W14*(1-Assumptions!$C$119),0)</f>
        <v>0</v>
      </c>
      <c r="X20" s="67" t="n">
        <f aca="false">ROUND(X19-X14*(1-Assumptions!$C$119),0)</f>
        <v>0</v>
      </c>
      <c r="Y20" s="67" t="n">
        <f aca="false">ROUND(Y19-Y14*(1-Assumptions!$C$119),0)</f>
        <v>0</v>
      </c>
      <c r="Z20" s="67" t="n">
        <f aca="false">ROUND(Z19-Z14*(1-Assumptions!$C$119),0)</f>
        <v>0</v>
      </c>
      <c r="AA20" s="67" t="n">
        <f aca="false">ROUND(AA19-AA14*(1-Assumptions!$C$119),0)</f>
        <v>0</v>
      </c>
      <c r="AB20" s="67" t="n">
        <f aca="false">ROUND(AB19-AB14*(1-Assumptions!$C$119),0)</f>
        <v>0</v>
      </c>
    </row>
    <row r="21" customFormat="false" ht="15" hidden="false" customHeight="false" outlineLevel="0" collapsed="false">
      <c r="A21" s="21" t="s">
        <v>1031</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row>
    <row r="22" customFormat="false" ht="15" hidden="false" customHeight="false" outlineLevel="0" collapsed="false">
      <c r="A22" s="27" t="s">
        <v>1032</v>
      </c>
      <c r="B22" s="63" t="s">
        <v>1033</v>
      </c>
      <c r="C22" s="66" t="n">
        <f aca="false">SUM(E22:P22)</f>
        <v>709225</v>
      </c>
      <c r="D22" s="66" t="n">
        <f aca="false">SUM(Q22:AB22)</f>
        <v>685200</v>
      </c>
      <c r="E22" s="67" t="n">
        <f aca="false">IF(E$5="A",Inputs_Actuals!E116,Assumptions!$C$122*Assumptions!E$212*Assumptions!$F$185)</f>
        <v>49000</v>
      </c>
      <c r="F22" s="67" t="n">
        <f aca="false">IF(F$5="A",Inputs_Actuals!F116,Assumptions!$C$122*Assumptions!F$212*Assumptions!$F$185)</f>
        <v>54000</v>
      </c>
      <c r="G22" s="67" t="n">
        <f aca="false">IF(G$5="A",Inputs_Actuals!G116,Assumptions!$C$122*Assumptions!G$212*Assumptions!$F$185)</f>
        <v>66000</v>
      </c>
      <c r="H22" s="67" t="n">
        <f aca="false">IF(H$5="A",Inputs_Actuals!H116,Assumptions!$C$122*Assumptions!H$212*Assumptions!$F$185)</f>
        <v>57000</v>
      </c>
      <c r="I22" s="67" t="n">
        <f aca="false">IF(I$5="A",Inputs_Actuals!I116,Assumptions!$C$122*Assumptions!I$212*Assumptions!$F$185)</f>
        <v>58000</v>
      </c>
      <c r="J22" s="67" t="n">
        <f aca="false">IF(J$5="A",Inputs_Actuals!J116,Assumptions!$C$122*Assumptions!J$212*Assumptions!$F$185)</f>
        <v>61000</v>
      </c>
      <c r="K22" s="67" t="n">
        <f aca="false">IF(K$5="A",Inputs_Actuals!K116,Assumptions!$C$122*Assumptions!K$212*Assumptions!$F$185)</f>
        <v>55000</v>
      </c>
      <c r="L22" s="67" t="n">
        <f aca="false">IF(L$5="A",Inputs_Actuals!L116,Assumptions!$C$122*Assumptions!L$212*Assumptions!$F$185)</f>
        <v>38000</v>
      </c>
      <c r="M22" s="67" t="n">
        <f aca="false">IF(M$5="A",Inputs_Actuals!M116,Assumptions!$C$122*Assumptions!M$212*Assumptions!$F$185)</f>
        <v>61097</v>
      </c>
      <c r="N22" s="67" t="n">
        <f aca="false">IF(N$5="A",Inputs_Actuals!N116,Assumptions!$C$122*Assumptions!N$212*Assumptions!$F$185)</f>
        <v>65094</v>
      </c>
      <c r="O22" s="67" t="n">
        <f aca="false">IF(O$5="A",Inputs_Actuals!O116,Assumptions!$C$122*Assumptions!O$212*Assumptions!$F$185)</f>
        <v>69662</v>
      </c>
      <c r="P22" s="67" t="n">
        <f aca="false">IF(P$5="A",Inputs_Actuals!P116,Assumptions!$C$122*Assumptions!P$212*Assumptions!$F$185)</f>
        <v>75372</v>
      </c>
      <c r="Q22" s="67" t="n">
        <f aca="false">IF(Q$5="A",Inputs_Actuals!Q116,Assumptions!$C$122*Assumptions!Q$212*Assumptions!$F$185)</f>
        <v>46822</v>
      </c>
      <c r="R22" s="67" t="n">
        <f aca="false">IF(R$5="A",Inputs_Actuals!R116,Assumptions!$C$122*Assumptions!R$212*Assumptions!$F$185)</f>
        <v>50248</v>
      </c>
      <c r="S22" s="67" t="n">
        <f aca="false">IF(S$5="A",Inputs_Actuals!S116,Assumptions!$C$122*Assumptions!S$212*Assumptions!$F$185)</f>
        <v>61668</v>
      </c>
      <c r="T22" s="67" t="n">
        <f aca="false">IF(T$5="A",Inputs_Actuals!T116,Assumptions!$C$122*Assumptions!T$212*Assumptions!$F$185)</f>
        <v>53103</v>
      </c>
      <c r="U22" s="67" t="n">
        <f aca="false">IF(U$5="A",Inputs_Actuals!U116,Assumptions!$C$122*Assumptions!U$212*Assumptions!$F$185)</f>
        <v>54816</v>
      </c>
      <c r="V22" s="67" t="n">
        <f aca="false">IF(V$5="A",Inputs_Actuals!V116,Assumptions!$C$122*Assumptions!V$212*Assumptions!$F$185)</f>
        <v>58242</v>
      </c>
      <c r="W22" s="67" t="n">
        <f aca="false">IF(W$5="A",Inputs_Actuals!W116,Assumptions!$C$122*Assumptions!W$212*Assumptions!$F$185)</f>
        <v>52532</v>
      </c>
      <c r="X22" s="67" t="n">
        <f aca="false">IF(X$5="A",Inputs_Actuals!X116,Assumptions!$C$122*Assumptions!X$212*Assumptions!$F$185)</f>
        <v>36544</v>
      </c>
      <c r="Y22" s="67" t="n">
        <f aca="false">IF(Y$5="A",Inputs_Actuals!Y116,Assumptions!$C$122*Assumptions!Y$212*Assumptions!$F$185)</f>
        <v>61097</v>
      </c>
      <c r="Z22" s="67" t="n">
        <f aca="false">IF(Z$5="A",Inputs_Actuals!Z116,Assumptions!$C$122*Assumptions!Z$212*Assumptions!$F$185)</f>
        <v>65094</v>
      </c>
      <c r="AA22" s="67" t="n">
        <f aca="false">IF(AA$5="A",Inputs_Actuals!AA116,Assumptions!$C$122*Assumptions!AA$212*Assumptions!$F$185)</f>
        <v>69662</v>
      </c>
      <c r="AB22" s="67" t="n">
        <f aca="false">IF(AB$5="A",Inputs_Actuals!AB116,Assumptions!$C$122*Assumptions!AB$212*Assumptions!$F$185)</f>
        <v>75372</v>
      </c>
    </row>
    <row r="23" customFormat="false" ht="15" hidden="false" customHeight="false" outlineLevel="0" collapsed="false">
      <c r="A23" s="27" t="s">
        <v>1034</v>
      </c>
      <c r="B23" s="63"/>
      <c r="C23" s="66" t="n">
        <f aca="false">SUM(E23:P23)</f>
        <v>627664.125</v>
      </c>
      <c r="D23" s="66" t="n">
        <f aca="false">SUM(Q23:AB23)</f>
        <v>606402</v>
      </c>
      <c r="E23" s="67" t="n">
        <f aca="false">E22*(1-Assumptions!$C$121)</f>
        <v>43365</v>
      </c>
      <c r="F23" s="67" t="n">
        <f aca="false">F22*(1-Assumptions!$C$121)</f>
        <v>47790</v>
      </c>
      <c r="G23" s="67" t="n">
        <f aca="false">G22*(1-Assumptions!$C$121)</f>
        <v>58410</v>
      </c>
      <c r="H23" s="67" t="n">
        <f aca="false">H22*(1-Assumptions!$C$121)</f>
        <v>50445</v>
      </c>
      <c r="I23" s="67" t="n">
        <f aca="false">I22*(1-Assumptions!$C$121)</f>
        <v>51330</v>
      </c>
      <c r="J23" s="67" t="n">
        <f aca="false">J22*(1-Assumptions!$C$121)</f>
        <v>53985</v>
      </c>
      <c r="K23" s="67" t="n">
        <f aca="false">K22*(1-Assumptions!$C$121)</f>
        <v>48675</v>
      </c>
      <c r="L23" s="67" t="n">
        <f aca="false">L22*(1-Assumptions!$C$121)</f>
        <v>33630</v>
      </c>
      <c r="M23" s="67" t="n">
        <f aca="false">M22*(1-Assumptions!$C$121)</f>
        <v>54070.845</v>
      </c>
      <c r="N23" s="67" t="n">
        <f aca="false">N22*(1-Assumptions!$C$121)</f>
        <v>57608.19</v>
      </c>
      <c r="O23" s="67" t="n">
        <f aca="false">O22*(1-Assumptions!$C$121)</f>
        <v>61650.87</v>
      </c>
      <c r="P23" s="67" t="n">
        <f aca="false">P22*(1-Assumptions!$C$121)</f>
        <v>66704.22</v>
      </c>
      <c r="Q23" s="67" t="n">
        <f aca="false">Q22*(1-Assumptions!$C$121)</f>
        <v>41437.47</v>
      </c>
      <c r="R23" s="67" t="n">
        <f aca="false">R22*(1-Assumptions!$C$121)</f>
        <v>44469.48</v>
      </c>
      <c r="S23" s="67" t="n">
        <f aca="false">S22*(1-Assumptions!$C$121)</f>
        <v>54576.18</v>
      </c>
      <c r="T23" s="67" t="n">
        <f aca="false">T22*(1-Assumptions!$C$121)</f>
        <v>46996.155</v>
      </c>
      <c r="U23" s="67" t="n">
        <f aca="false">U22*(1-Assumptions!$C$121)</f>
        <v>48512.16</v>
      </c>
      <c r="V23" s="67" t="n">
        <f aca="false">V22*(1-Assumptions!$C$121)</f>
        <v>51544.17</v>
      </c>
      <c r="W23" s="67" t="n">
        <f aca="false">W22*(1-Assumptions!$C$121)</f>
        <v>46490.82</v>
      </c>
      <c r="X23" s="67" t="n">
        <f aca="false">X22*(1-Assumptions!$C$121)</f>
        <v>32341.44</v>
      </c>
      <c r="Y23" s="67" t="n">
        <f aca="false">Y22*(1-Assumptions!$C$121)</f>
        <v>54070.845</v>
      </c>
      <c r="Z23" s="67" t="n">
        <f aca="false">Z22*(1-Assumptions!$C$121)</f>
        <v>57608.19</v>
      </c>
      <c r="AA23" s="67" t="n">
        <f aca="false">AA22*(1-Assumptions!$C$121)</f>
        <v>61650.87</v>
      </c>
      <c r="AB23" s="67" t="n">
        <f aca="false">AB22*(1-Assumptions!$C$121)</f>
        <v>66704.22</v>
      </c>
    </row>
    <row r="24" customFormat="false" ht="15" hidden="false" customHeight="false" outlineLevel="0" collapsed="false">
      <c r="A24" s="27" t="s">
        <v>1035</v>
      </c>
      <c r="B24" s="63" t="s">
        <v>1036</v>
      </c>
      <c r="C24" s="66" t="n">
        <f aca="false">SUM(E24:P24)</f>
        <v>81560.875</v>
      </c>
      <c r="D24" s="66" t="n">
        <f aca="false">SUM(Q24:AB24)</f>
        <v>78798</v>
      </c>
      <c r="E24" s="67" t="n">
        <f aca="false">E22*Assumptions!$C$121</f>
        <v>5635</v>
      </c>
      <c r="F24" s="67" t="n">
        <f aca="false">F22*Assumptions!$C$121</f>
        <v>6210</v>
      </c>
      <c r="G24" s="67" t="n">
        <f aca="false">G22*Assumptions!$C$121</f>
        <v>7590</v>
      </c>
      <c r="H24" s="67" t="n">
        <f aca="false">H22*Assumptions!$C$121</f>
        <v>6555</v>
      </c>
      <c r="I24" s="67" t="n">
        <f aca="false">I22*Assumptions!$C$121</f>
        <v>6670</v>
      </c>
      <c r="J24" s="67" t="n">
        <f aca="false">J22*Assumptions!$C$121</f>
        <v>7015</v>
      </c>
      <c r="K24" s="67" t="n">
        <f aca="false">K22*Assumptions!$C$121</f>
        <v>6325</v>
      </c>
      <c r="L24" s="67" t="n">
        <f aca="false">L22*Assumptions!$C$121</f>
        <v>4370</v>
      </c>
      <c r="M24" s="67" t="n">
        <f aca="false">M22*Assumptions!$C$121</f>
        <v>7026.155</v>
      </c>
      <c r="N24" s="67" t="n">
        <f aca="false">N22*Assumptions!$C$121</f>
        <v>7485.81</v>
      </c>
      <c r="O24" s="67" t="n">
        <f aca="false">O22*Assumptions!$C$121</f>
        <v>8011.13</v>
      </c>
      <c r="P24" s="67" t="n">
        <f aca="false">P22*Assumptions!$C$121</f>
        <v>8667.78</v>
      </c>
      <c r="Q24" s="67" t="n">
        <f aca="false">Q22*Assumptions!$C$121</f>
        <v>5384.53</v>
      </c>
      <c r="R24" s="67" t="n">
        <f aca="false">R22*Assumptions!$C$121</f>
        <v>5778.52</v>
      </c>
      <c r="S24" s="67" t="n">
        <f aca="false">S22*Assumptions!$C$121</f>
        <v>7091.82</v>
      </c>
      <c r="T24" s="67" t="n">
        <f aca="false">T22*Assumptions!$C$121</f>
        <v>6106.845</v>
      </c>
      <c r="U24" s="67" t="n">
        <f aca="false">U22*Assumptions!$C$121</f>
        <v>6303.84</v>
      </c>
      <c r="V24" s="67" t="n">
        <f aca="false">V22*Assumptions!$C$121</f>
        <v>6697.83</v>
      </c>
      <c r="W24" s="67" t="n">
        <f aca="false">W22*Assumptions!$C$121</f>
        <v>6041.18</v>
      </c>
      <c r="X24" s="67" t="n">
        <f aca="false">X22*Assumptions!$C$121</f>
        <v>4202.56</v>
      </c>
      <c r="Y24" s="67" t="n">
        <f aca="false">Y22*Assumptions!$C$121</f>
        <v>7026.155</v>
      </c>
      <c r="Z24" s="67" t="n">
        <f aca="false">Z22*Assumptions!$C$121</f>
        <v>7485.81</v>
      </c>
      <c r="AA24" s="67" t="n">
        <f aca="false">AA22*Assumptions!$C$121</f>
        <v>8011.13</v>
      </c>
      <c r="AB24" s="67" t="n">
        <f aca="false">AB22*Assumptions!$C$121</f>
        <v>8667.78</v>
      </c>
    </row>
    <row r="25" customFormat="false" ht="15" hidden="false" customHeight="false" outlineLevel="0" collapsed="false">
      <c r="A25" s="27" t="s">
        <v>1037</v>
      </c>
      <c r="B25" s="63" t="s">
        <v>57</v>
      </c>
      <c r="C25" s="66" t="n">
        <f aca="false">SUM(E25:P25)</f>
        <v>18829.92375</v>
      </c>
      <c r="D25" s="66" t="n">
        <f aca="false">SUM(Q25:AB25)</f>
        <v>18192.06</v>
      </c>
      <c r="E25" s="67" t="n">
        <f aca="false">Rebates!E20</f>
        <v>1300.95</v>
      </c>
      <c r="F25" s="67" t="n">
        <f aca="false">Rebates!F20</f>
        <v>1433.7</v>
      </c>
      <c r="G25" s="67" t="n">
        <f aca="false">Rebates!G20</f>
        <v>1752.3</v>
      </c>
      <c r="H25" s="67" t="n">
        <f aca="false">Rebates!H20</f>
        <v>1513.35</v>
      </c>
      <c r="I25" s="67" t="n">
        <f aca="false">Rebates!I20</f>
        <v>1539.9</v>
      </c>
      <c r="J25" s="67" t="n">
        <f aca="false">Rebates!J20</f>
        <v>1619.55</v>
      </c>
      <c r="K25" s="67" t="n">
        <f aca="false">Rebates!K20</f>
        <v>1460.25</v>
      </c>
      <c r="L25" s="67" t="n">
        <f aca="false">Rebates!L20</f>
        <v>1008.9</v>
      </c>
      <c r="M25" s="67" t="n">
        <f aca="false">Rebates!M20</f>
        <v>1622.12535</v>
      </c>
      <c r="N25" s="67" t="n">
        <f aca="false">Rebates!N20</f>
        <v>1728.2457</v>
      </c>
      <c r="O25" s="67" t="n">
        <f aca="false">Rebates!O20</f>
        <v>1849.5261</v>
      </c>
      <c r="P25" s="67" t="n">
        <f aca="false">Rebates!P20</f>
        <v>2001.1266</v>
      </c>
      <c r="Q25" s="67" t="n">
        <f aca="false">Rebates!Q20</f>
        <v>1243.1241</v>
      </c>
      <c r="R25" s="67" t="n">
        <f aca="false">Rebates!R20</f>
        <v>1334.0844</v>
      </c>
      <c r="S25" s="67" t="n">
        <f aca="false">Rebates!S20</f>
        <v>1637.2854</v>
      </c>
      <c r="T25" s="67" t="n">
        <f aca="false">Rebates!T20</f>
        <v>1409.88465</v>
      </c>
      <c r="U25" s="67" t="n">
        <f aca="false">Rebates!U20</f>
        <v>1455.3648</v>
      </c>
      <c r="V25" s="67" t="n">
        <f aca="false">Rebates!V20</f>
        <v>1546.3251</v>
      </c>
      <c r="W25" s="67" t="n">
        <f aca="false">Rebates!W20</f>
        <v>1394.7246</v>
      </c>
      <c r="X25" s="67" t="n">
        <f aca="false">Rebates!X20</f>
        <v>970.2432</v>
      </c>
      <c r="Y25" s="67" t="n">
        <f aca="false">Rebates!Y20</f>
        <v>1622.12535</v>
      </c>
      <c r="Z25" s="67" t="n">
        <f aca="false">Rebates!Z20</f>
        <v>1728.2457</v>
      </c>
      <c r="AA25" s="67" t="n">
        <f aca="false">Rebates!AA20</f>
        <v>1849.5261</v>
      </c>
      <c r="AB25" s="67" t="n">
        <f aca="false">Rebates!AB20</f>
        <v>2001.1266</v>
      </c>
    </row>
    <row r="26" customFormat="false" ht="15" hidden="false" customHeight="false" outlineLevel="0" collapsed="false">
      <c r="A26" s="59" t="s">
        <v>1038</v>
      </c>
      <c r="B26" s="60"/>
      <c r="C26" s="61" t="n">
        <f aca="false">SUM(E26:P26)</f>
        <v>100390.79875</v>
      </c>
      <c r="D26" s="61" t="n">
        <f aca="false">SUM(Q26:AB26)</f>
        <v>96990.06</v>
      </c>
      <c r="E26" s="61" t="n">
        <f aca="false">E24+E25</f>
        <v>6935.95</v>
      </c>
      <c r="F26" s="61" t="n">
        <f aca="false">F24+F25</f>
        <v>7643.7</v>
      </c>
      <c r="G26" s="61" t="n">
        <f aca="false">G24+G25</f>
        <v>9342.3</v>
      </c>
      <c r="H26" s="61" t="n">
        <f aca="false">H24+H25</f>
        <v>8068.35</v>
      </c>
      <c r="I26" s="61" t="n">
        <f aca="false">I24+I25</f>
        <v>8209.9</v>
      </c>
      <c r="J26" s="61" t="n">
        <f aca="false">J24+J25</f>
        <v>8634.55</v>
      </c>
      <c r="K26" s="61" t="n">
        <f aca="false">K24+K25</f>
        <v>7785.25</v>
      </c>
      <c r="L26" s="61" t="n">
        <f aca="false">L24+L25</f>
        <v>5378.9</v>
      </c>
      <c r="M26" s="61" t="n">
        <f aca="false">M24+M25</f>
        <v>8648.28035</v>
      </c>
      <c r="N26" s="61" t="n">
        <f aca="false">N24+N25</f>
        <v>9214.0557</v>
      </c>
      <c r="O26" s="61" t="n">
        <f aca="false">O24+O25</f>
        <v>9860.6561</v>
      </c>
      <c r="P26" s="61" t="n">
        <f aca="false">P24+P25</f>
        <v>10668.9066</v>
      </c>
      <c r="Q26" s="61" t="n">
        <f aca="false">Q24+Q25</f>
        <v>6627.6541</v>
      </c>
      <c r="R26" s="61" t="n">
        <f aca="false">R24+R25</f>
        <v>7112.6044</v>
      </c>
      <c r="S26" s="61" t="n">
        <f aca="false">S24+S25</f>
        <v>8729.1054</v>
      </c>
      <c r="T26" s="61" t="n">
        <f aca="false">T24+T25</f>
        <v>7516.72965</v>
      </c>
      <c r="U26" s="61" t="n">
        <f aca="false">U24+U25</f>
        <v>7759.2048</v>
      </c>
      <c r="V26" s="61" t="n">
        <f aca="false">V24+V25</f>
        <v>8244.1551</v>
      </c>
      <c r="W26" s="61" t="n">
        <f aca="false">W24+W25</f>
        <v>7435.9046</v>
      </c>
      <c r="X26" s="61" t="n">
        <f aca="false">X24+X25</f>
        <v>5172.8032</v>
      </c>
      <c r="Y26" s="61" t="n">
        <f aca="false">Y24+Y25</f>
        <v>8648.28035</v>
      </c>
      <c r="Z26" s="61" t="n">
        <f aca="false">Z24+Z25</f>
        <v>9214.0557</v>
      </c>
      <c r="AA26" s="61" t="n">
        <f aca="false">AA24+AA25</f>
        <v>9860.6561</v>
      </c>
      <c r="AB26" s="61" t="n">
        <f aca="false">AB24+AB25</f>
        <v>10668.9066</v>
      </c>
    </row>
    <row r="27" customFormat="false" ht="15" hidden="false" customHeight="false" outlineLevel="0" collapsed="false">
      <c r="A27" s="21" t="s">
        <v>858</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row>
    <row r="28" customFormat="false" ht="15" hidden="false" customHeight="false" outlineLevel="0" collapsed="false">
      <c r="A28" s="27" t="s">
        <v>1039</v>
      </c>
      <c r="B28" s="63"/>
      <c r="C28" s="66" t="n">
        <f aca="false">SUM(E28:P28)</f>
        <v>1634915.71300776</v>
      </c>
      <c r="D28" s="66" t="n">
        <f aca="false">SUM(Q28:AB28)</f>
        <v>1721796.71543348</v>
      </c>
      <c r="E28" s="76" t="n">
        <f aca="false">E10+E17+E23</f>
        <v>283964.59</v>
      </c>
      <c r="F28" s="76" t="n">
        <f aca="false">F10+F17+F23</f>
        <v>113469.08</v>
      </c>
      <c r="G28" s="76" t="n">
        <f aca="false">G10+G17+G23</f>
        <v>130077.79</v>
      </c>
      <c r="H28" s="76" t="n">
        <f aca="false">H10+H17+H23</f>
        <v>118945.08</v>
      </c>
      <c r="I28" s="76" t="n">
        <f aca="false">I10+I17+I23</f>
        <v>114806.58</v>
      </c>
      <c r="J28" s="76" t="n">
        <f aca="false">J10+J17+J23</f>
        <v>123311.4</v>
      </c>
      <c r="K28" s="76" t="n">
        <f aca="false">K10+K17+K23</f>
        <v>115266.93</v>
      </c>
      <c r="L28" s="76" t="n">
        <f aca="false">L10+L17+L23</f>
        <v>96574.45</v>
      </c>
      <c r="M28" s="76" t="n">
        <f aca="false">M10+M17+M23</f>
        <v>129690.253895</v>
      </c>
      <c r="N28" s="76" t="n">
        <f aca="false">N10+N17+N23</f>
        <v>127454.995222319</v>
      </c>
      <c r="O28" s="76" t="n">
        <f aca="false">O10+O17+O23</f>
        <v>133025.477760218</v>
      </c>
      <c r="P28" s="76" t="n">
        <f aca="false">P10+P17+P23</f>
        <v>148329.086130222</v>
      </c>
      <c r="Q28" s="76" t="n">
        <f aca="false">Q10+Q17+Q23</f>
        <v>298540.272815568</v>
      </c>
      <c r="R28" s="76" t="n">
        <f aca="false">R10+R17+R23</f>
        <v>120474.084021536</v>
      </c>
      <c r="S28" s="76" t="n">
        <f aca="false">S10+S17+S23</f>
        <v>134902.224983246</v>
      </c>
      <c r="T28" s="76" t="n">
        <f aca="false">T10+T17+T23</f>
        <v>124527.156367502</v>
      </c>
      <c r="U28" s="76" t="n">
        <f aca="false">U10+U17+U23</f>
        <v>121934.422006543</v>
      </c>
      <c r="V28" s="76" t="n">
        <f aca="false">V10+V17+V23</f>
        <v>131205.910036777</v>
      </c>
      <c r="W28" s="76" t="n">
        <f aca="false">W10+W17+W23</f>
        <v>121740.40127858</v>
      </c>
      <c r="X28" s="76" t="n">
        <f aca="false">X10+X17+X23</f>
        <v>103199.517566756</v>
      </c>
      <c r="Y28" s="76" t="n">
        <f aca="false">Y10+Y17+Y23</f>
        <v>138108.180952927</v>
      </c>
      <c r="Z28" s="76" t="n">
        <f aca="false">Z10+Z17+Z23</f>
        <v>135997.79024133</v>
      </c>
      <c r="AA28" s="76" t="n">
        <f aca="false">AA10+AA17+AA23</f>
        <v>137636.425281151</v>
      </c>
      <c r="AB28" s="76" t="n">
        <f aca="false">AB10+AB17+AB23</f>
        <v>153530.329881569</v>
      </c>
    </row>
    <row r="29" customFormat="false" ht="15" hidden="false" customHeight="false" outlineLevel="0" collapsed="false">
      <c r="A29" s="59" t="s">
        <v>1040</v>
      </c>
      <c r="B29" s="60"/>
      <c r="C29" s="61" t="n">
        <f aca="false">SUM(E29:P29)</f>
        <v>973883.847367526</v>
      </c>
      <c r="D29" s="61" t="n">
        <f aca="false">SUM(Q29:AB29)</f>
        <v>1079222.86597048</v>
      </c>
      <c r="E29" s="62" t="n">
        <f aca="false">E10+E18-Rebates!E17</f>
        <v>73876.6</v>
      </c>
      <c r="F29" s="62" t="n">
        <f aca="false">F10+F18-Rebates!F17</f>
        <v>79377.3766666667</v>
      </c>
      <c r="G29" s="62" t="n">
        <f aca="false">G10+G18-Rebates!G17</f>
        <v>80626.4266666667</v>
      </c>
      <c r="H29" s="62" t="n">
        <f aca="false">H10+H18-Rebates!H17</f>
        <v>80878.7466666667</v>
      </c>
      <c r="I29" s="62" t="n">
        <f aca="false">I10+I18-Rebates!I17</f>
        <v>80071.9466666667</v>
      </c>
      <c r="J29" s="62" t="n">
        <f aca="false">J10+J18-Rebates!J17</f>
        <v>79976.61</v>
      </c>
      <c r="K29" s="62" t="n">
        <f aca="false">K10+K18-Rebates!K17</f>
        <v>81694.17</v>
      </c>
      <c r="L29" s="62" t="n">
        <f aca="false">L10+L18-Rebates!L17</f>
        <v>82133.4533333333</v>
      </c>
      <c r="M29" s="62" t="n">
        <f aca="false">M10+M18-Rebates!M17</f>
        <v>81959.0932948167</v>
      </c>
      <c r="N29" s="62" t="n">
        <f aca="false">N10+N18-Rebates!N17</f>
        <v>81930.4677323161</v>
      </c>
      <c r="O29" s="62" t="n">
        <f aca="false">O10+O18-Rebates!O17</f>
        <v>85814.0361940783</v>
      </c>
      <c r="P29" s="62" t="n">
        <f aca="false">P10+P18-Rebates!P17</f>
        <v>85544.9201463151</v>
      </c>
      <c r="Q29" s="62" t="n">
        <f aca="false">Q10+Q18-Rebates!Q17</f>
        <v>83672.9853977675</v>
      </c>
      <c r="R29" s="62" t="n">
        <f aca="false">R10+R18-Rebates!R17</f>
        <v>90149.0792342228</v>
      </c>
      <c r="S29" s="62" t="n">
        <f aca="false">S10+S18-Rebates!S17</f>
        <v>89568.0769670815</v>
      </c>
      <c r="T29" s="62" t="n">
        <f aca="false">T10+T18-Rebates!T17</f>
        <v>90293.3513264769</v>
      </c>
      <c r="U29" s="62" t="n">
        <f aca="false">U10+U18-Rebates!U17</f>
        <v>90521.3141463471</v>
      </c>
      <c r="V29" s="62" t="n">
        <f aca="false">V10+V18-Rebates!V17</f>
        <v>90531.3545023404</v>
      </c>
      <c r="W29" s="62" t="n">
        <f aca="false">W10+W18-Rebates!W17</f>
        <v>90786.2271735558</v>
      </c>
      <c r="X29" s="62" t="n">
        <f aca="false">X10+X18-Rebates!X17</f>
        <v>90652.7619064204</v>
      </c>
      <c r="Y29" s="62" t="n">
        <f aca="false">Y10+Y18-Rebates!Y17</f>
        <v>90468.8132076727</v>
      </c>
      <c r="Z29" s="62" t="n">
        <f aca="false">Z10+Z18-Rebates!Z17</f>
        <v>90784.1415674229</v>
      </c>
      <c r="AA29" s="62" t="n">
        <f aca="false">AA10+AA18-Rebates!AA17</f>
        <v>90949.88195605</v>
      </c>
      <c r="AB29" s="62" t="n">
        <f aca="false">AB10+AB18-Rebates!AB17</f>
        <v>90844.8785851217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1041</v>
      </c>
    </row>
    <row r="3" customFormat="false" ht="15" hidden="false" customHeight="false" outlineLevel="0" collapsed="false">
      <c r="A3" s="50" t="s">
        <v>1042</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1043</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1044</v>
      </c>
      <c r="B9" s="63" t="s">
        <v>53</v>
      </c>
      <c r="C9" s="66" t="n">
        <f aca="false">SUM(E9:P9)</f>
        <v>2175010.26709677</v>
      </c>
      <c r="D9" s="66" t="n">
        <f aca="false">SUM(Q9:AB9)</f>
        <v>2167443.2</v>
      </c>
      <c r="E9" s="67" t="n">
        <f aca="false">Hardware!E17</f>
        <v>139038.6</v>
      </c>
      <c r="F9" s="67" t="n">
        <f aca="false">Hardware!F17</f>
        <v>173951.02</v>
      </c>
      <c r="G9" s="67" t="n">
        <f aca="false">Hardware!G17</f>
        <v>210911.04</v>
      </c>
      <c r="H9" s="67" t="n">
        <f aca="false">Hardware!H17</f>
        <v>170232.04</v>
      </c>
      <c r="I9" s="67" t="n">
        <f aca="false">Hardware!I17</f>
        <v>177467.69</v>
      </c>
      <c r="J9" s="67" t="n">
        <f aca="false">Hardware!J17</f>
        <v>221828.58</v>
      </c>
      <c r="K9" s="67" t="n">
        <f aca="false">Hardware!K17</f>
        <v>155099.36</v>
      </c>
      <c r="L9" s="67" t="n">
        <f aca="false">Hardware!L17</f>
        <v>80945.48</v>
      </c>
      <c r="M9" s="67" t="n">
        <f aca="false">Hardware!M17</f>
        <v>261158.587333333</v>
      </c>
      <c r="N9" s="67" t="n">
        <f aca="false">Hardware!N17</f>
        <v>237130.592344086</v>
      </c>
      <c r="O9" s="67" t="n">
        <f aca="false">Hardware!O17</f>
        <v>179792.372989247</v>
      </c>
      <c r="P9" s="67" t="n">
        <f aca="false">Hardware!P17</f>
        <v>167454.904430108</v>
      </c>
      <c r="Q9" s="67" t="n">
        <f aca="false">Hardware!Q17</f>
        <v>151419.705806452</v>
      </c>
      <c r="R9" s="67" t="n">
        <f aca="false">Hardware!R17</f>
        <v>178216.547096774</v>
      </c>
      <c r="S9" s="67" t="n">
        <f aca="false">Hardware!S17</f>
        <v>193019.169032258</v>
      </c>
      <c r="T9" s="67" t="n">
        <f aca="false">Hardware!T17</f>
        <v>166709.897634409</v>
      </c>
      <c r="U9" s="67" t="n">
        <f aca="false">Hardware!U17</f>
        <v>182877.715268817</v>
      </c>
      <c r="V9" s="67" t="n">
        <f aca="false">Hardware!V17</f>
        <v>216028.56739785</v>
      </c>
      <c r="W9" s="67" t="n">
        <f aca="false">Hardware!W17</f>
        <v>147425.533247312</v>
      </c>
      <c r="X9" s="67" t="n">
        <f aca="false">Hardware!X17</f>
        <v>82613.8425806452</v>
      </c>
      <c r="Y9" s="67" t="n">
        <f aca="false">Hardware!Y17</f>
        <v>264754.352172043</v>
      </c>
      <c r="Z9" s="67" t="n">
        <f aca="false">Hardware!Z17</f>
        <v>237130.592344086</v>
      </c>
      <c r="AA9" s="67" t="n">
        <f aca="false">Hardware!AA17</f>
        <v>179792.372989247</v>
      </c>
      <c r="AB9" s="67" t="n">
        <f aca="false">Hardware!AB17</f>
        <v>167454.904430108</v>
      </c>
    </row>
    <row r="10" customFormat="false" ht="15" hidden="false" customHeight="false" outlineLevel="0" collapsed="false">
      <c r="A10" s="27" t="s">
        <v>1045</v>
      </c>
      <c r="B10" s="63"/>
      <c r="E10" s="67" t="n">
        <f aca="false">SUMIFS(Rebates!$E$9:$AB$9,Assumptions!$E$209:$AB$209,Assumptions!E$209)</f>
        <v>523900.66</v>
      </c>
      <c r="F10" s="67" t="n">
        <f aca="false">SUMIFS(Rebates!$E$9:$AB$9,Assumptions!$E$209:$AB$209,Assumptions!F$209)</f>
        <v>523900.66</v>
      </c>
      <c r="G10" s="67" t="n">
        <f aca="false">SUMIFS(Rebates!$E$9:$AB$9,Assumptions!$E$209:$AB$209,Assumptions!G$209)</f>
        <v>523900.66</v>
      </c>
      <c r="H10" s="67" t="n">
        <f aca="false">SUMIFS(Rebates!$E$9:$AB$9,Assumptions!$E$209:$AB$209,Assumptions!H$209)</f>
        <v>569528.31</v>
      </c>
      <c r="I10" s="67" t="n">
        <f aca="false">SUMIFS(Rebates!$E$9:$AB$9,Assumptions!$E$209:$AB$209,Assumptions!I$209)</f>
        <v>569528.31</v>
      </c>
      <c r="J10" s="67" t="n">
        <f aca="false">SUMIFS(Rebates!$E$9:$AB$9,Assumptions!$E$209:$AB$209,Assumptions!J$209)</f>
        <v>569528.31</v>
      </c>
      <c r="K10" s="67" t="n">
        <f aca="false">SUMIFS(Rebates!$E$9:$AB$9,Assumptions!$E$209:$AB$209,Assumptions!K$209)</f>
        <v>497203.427333333</v>
      </c>
      <c r="L10" s="67" t="n">
        <f aca="false">SUMIFS(Rebates!$E$9:$AB$9,Assumptions!$E$209:$AB$209,Assumptions!L$209)</f>
        <v>497203.427333333</v>
      </c>
      <c r="M10" s="67" t="n">
        <f aca="false">SUMIFS(Rebates!$E$9:$AB$9,Assumptions!$E$209:$AB$209,Assumptions!M$209)</f>
        <v>497203.427333333</v>
      </c>
      <c r="N10" s="67" t="n">
        <f aca="false">SUMIFS(Rebates!$E$9:$AB$9,Assumptions!$E$209:$AB$209,Assumptions!N$209)</f>
        <v>584377.869763441</v>
      </c>
      <c r="O10" s="67" t="n">
        <f aca="false">SUMIFS(Rebates!$E$9:$AB$9,Assumptions!$E$209:$AB$209,Assumptions!O$209)</f>
        <v>584377.869763441</v>
      </c>
      <c r="P10" s="67" t="n">
        <f aca="false">SUMIFS(Rebates!$E$9:$AB$9,Assumptions!$E$209:$AB$209,Assumptions!P$209)</f>
        <v>584377.869763441</v>
      </c>
      <c r="Q10" s="67" t="n">
        <f aca="false">SUMIFS(Rebates!$E$9:$AB$9,Assumptions!$E$209:$AB$209,Assumptions!Q$209)</f>
        <v>522655.421935484</v>
      </c>
      <c r="R10" s="67" t="n">
        <f aca="false">SUMIFS(Rebates!$E$9:$AB$9,Assumptions!$E$209:$AB$209,Assumptions!R$209)</f>
        <v>522655.421935484</v>
      </c>
      <c r="S10" s="67" t="n">
        <f aca="false">SUMIFS(Rebates!$E$9:$AB$9,Assumptions!$E$209:$AB$209,Assumptions!S$209)</f>
        <v>522655.421935484</v>
      </c>
      <c r="T10" s="67" t="n">
        <f aca="false">SUMIFS(Rebates!$E$9:$AB$9,Assumptions!$E$209:$AB$209,Assumptions!T$209)</f>
        <v>565616.180301075</v>
      </c>
      <c r="U10" s="67" t="n">
        <f aca="false">SUMIFS(Rebates!$E$9:$AB$9,Assumptions!$E$209:$AB$209,Assumptions!U$209)</f>
        <v>565616.180301075</v>
      </c>
      <c r="V10" s="67" t="n">
        <f aca="false">SUMIFS(Rebates!$E$9:$AB$9,Assumptions!$E$209:$AB$209,Assumptions!V$209)</f>
        <v>565616.180301075</v>
      </c>
      <c r="W10" s="67" t="n">
        <f aca="false">SUMIFS(Rebates!$E$9:$AB$9,Assumptions!$E$209:$AB$209,Assumptions!W$209)</f>
        <v>494793.728</v>
      </c>
      <c r="X10" s="67" t="n">
        <f aca="false">SUMIFS(Rebates!$E$9:$AB$9,Assumptions!$E$209:$AB$209,Assumptions!X$209)</f>
        <v>494793.728</v>
      </c>
      <c r="Y10" s="67" t="n">
        <f aca="false">SUMIFS(Rebates!$E$9:$AB$9,Assumptions!$E$209:$AB$209,Assumptions!Y$209)</f>
        <v>494793.728</v>
      </c>
      <c r="Z10" s="67" t="n">
        <f aca="false">SUMIFS(Rebates!$E$9:$AB$9,Assumptions!$E$209:$AB$209,Assumptions!Z$209)</f>
        <v>584377.869763441</v>
      </c>
      <c r="AA10" s="67" t="n">
        <f aca="false">SUMIFS(Rebates!$E$9:$AB$9,Assumptions!$E$209:$AB$209,Assumptions!AA$209)</f>
        <v>584377.869763441</v>
      </c>
      <c r="AB10" s="67" t="n">
        <f aca="false">SUMIFS(Rebates!$E$9:$AB$9,Assumptions!$E$209:$AB$209,Assumptions!AB$209)</f>
        <v>584377.869763441</v>
      </c>
    </row>
    <row r="11" customFormat="false" ht="15" hidden="false" customHeight="false" outlineLevel="0" collapsed="false">
      <c r="A11" s="27" t="s">
        <v>1046</v>
      </c>
      <c r="B11" s="63"/>
      <c r="E11" s="73" t="n">
        <f aca="false">IF(E10&gt;=Assumptions!$C$130,Assumptions!$C$132,IF(E10&gt;=Assumptions!$C$129,Assumptions!$C$131,0))</f>
        <v>0.015</v>
      </c>
      <c r="F11" s="73" t="n">
        <f aca="false">IF(F10&gt;=Assumptions!$C$130,Assumptions!$C$132,IF(F10&gt;=Assumptions!$C$129,Assumptions!$C$131,0))</f>
        <v>0.015</v>
      </c>
      <c r="G11" s="73" t="n">
        <f aca="false">IF(G10&gt;=Assumptions!$C$130,Assumptions!$C$132,IF(G10&gt;=Assumptions!$C$129,Assumptions!$C$131,0))</f>
        <v>0.015</v>
      </c>
      <c r="H11" s="73" t="n">
        <f aca="false">IF(H10&gt;=Assumptions!$C$130,Assumptions!$C$132,IF(H10&gt;=Assumptions!$C$129,Assumptions!$C$131,0))</f>
        <v>0.015</v>
      </c>
      <c r="I11" s="73" t="n">
        <f aca="false">IF(I10&gt;=Assumptions!$C$130,Assumptions!$C$132,IF(I10&gt;=Assumptions!$C$129,Assumptions!$C$131,0))</f>
        <v>0.015</v>
      </c>
      <c r="J11" s="73" t="n">
        <f aca="false">IF(J10&gt;=Assumptions!$C$130,Assumptions!$C$132,IF(J10&gt;=Assumptions!$C$129,Assumptions!$C$131,0))</f>
        <v>0.015</v>
      </c>
      <c r="K11" s="73" t="n">
        <f aca="false">IF(K10&gt;=Assumptions!$C$130,Assumptions!$C$132,IF(K10&gt;=Assumptions!$C$129,Assumptions!$C$131,0))</f>
        <v>0.015</v>
      </c>
      <c r="L11" s="73" t="n">
        <f aca="false">IF(L10&gt;=Assumptions!$C$130,Assumptions!$C$132,IF(L10&gt;=Assumptions!$C$129,Assumptions!$C$131,0))</f>
        <v>0.015</v>
      </c>
      <c r="M11" s="73" t="n">
        <f aca="false">IF(M10&gt;=Assumptions!$C$130,Assumptions!$C$132,IF(M10&gt;=Assumptions!$C$129,Assumptions!$C$131,0))</f>
        <v>0.015</v>
      </c>
      <c r="N11" s="73" t="n">
        <f aca="false">IF(N10&gt;=Assumptions!$C$130,Assumptions!$C$132,IF(N10&gt;=Assumptions!$C$129,Assumptions!$C$131,0))</f>
        <v>0.015</v>
      </c>
      <c r="O11" s="73" t="n">
        <f aca="false">IF(O10&gt;=Assumptions!$C$130,Assumptions!$C$132,IF(O10&gt;=Assumptions!$C$129,Assumptions!$C$131,0))</f>
        <v>0.015</v>
      </c>
      <c r="P11" s="73" t="n">
        <f aca="false">IF(P10&gt;=Assumptions!$C$130,Assumptions!$C$132,IF(P10&gt;=Assumptions!$C$129,Assumptions!$C$131,0))</f>
        <v>0.015</v>
      </c>
      <c r="Q11" s="73" t="n">
        <f aca="false">IF(Q10&gt;=Assumptions!$C$130,Assumptions!$C$132,IF(Q10&gt;=Assumptions!$C$129,Assumptions!$C$131,0))</f>
        <v>0.015</v>
      </c>
      <c r="R11" s="73" t="n">
        <f aca="false">IF(R10&gt;=Assumptions!$C$130,Assumptions!$C$132,IF(R10&gt;=Assumptions!$C$129,Assumptions!$C$131,0))</f>
        <v>0.015</v>
      </c>
      <c r="S11" s="73" t="n">
        <f aca="false">IF(S10&gt;=Assumptions!$C$130,Assumptions!$C$132,IF(S10&gt;=Assumptions!$C$129,Assumptions!$C$131,0))</f>
        <v>0.015</v>
      </c>
      <c r="T11" s="73" t="n">
        <f aca="false">IF(T10&gt;=Assumptions!$C$130,Assumptions!$C$132,IF(T10&gt;=Assumptions!$C$129,Assumptions!$C$131,0))</f>
        <v>0.015</v>
      </c>
      <c r="U11" s="73" t="n">
        <f aca="false">IF(U10&gt;=Assumptions!$C$130,Assumptions!$C$132,IF(U10&gt;=Assumptions!$C$129,Assumptions!$C$131,0))</f>
        <v>0.015</v>
      </c>
      <c r="V11" s="73" t="n">
        <f aca="false">IF(V10&gt;=Assumptions!$C$130,Assumptions!$C$132,IF(V10&gt;=Assumptions!$C$129,Assumptions!$C$131,0))</f>
        <v>0.015</v>
      </c>
      <c r="W11" s="73" t="n">
        <f aca="false">IF(W10&gt;=Assumptions!$C$130,Assumptions!$C$132,IF(W10&gt;=Assumptions!$C$129,Assumptions!$C$131,0))</f>
        <v>0.015</v>
      </c>
      <c r="X11" s="73" t="n">
        <f aca="false">IF(X10&gt;=Assumptions!$C$130,Assumptions!$C$132,IF(X10&gt;=Assumptions!$C$129,Assumptions!$C$131,0))</f>
        <v>0.015</v>
      </c>
      <c r="Y11" s="73" t="n">
        <f aca="false">IF(Y10&gt;=Assumptions!$C$130,Assumptions!$C$132,IF(Y10&gt;=Assumptions!$C$129,Assumptions!$C$131,0))</f>
        <v>0.015</v>
      </c>
      <c r="Z11" s="73" t="n">
        <f aca="false">IF(Z10&gt;=Assumptions!$C$130,Assumptions!$C$132,IF(Z10&gt;=Assumptions!$C$129,Assumptions!$C$131,0))</f>
        <v>0.015</v>
      </c>
      <c r="AA11" s="73" t="n">
        <f aca="false">IF(AA10&gt;=Assumptions!$C$130,Assumptions!$C$132,IF(AA10&gt;=Assumptions!$C$129,Assumptions!$C$131,0))</f>
        <v>0.015</v>
      </c>
      <c r="AB11" s="73" t="n">
        <f aca="false">IF(AB10&gt;=Assumptions!$C$130,Assumptions!$C$132,IF(AB10&gt;=Assumptions!$C$129,Assumptions!$C$131,0))</f>
        <v>0.015</v>
      </c>
    </row>
    <row r="12" customFormat="false" ht="15" hidden="false" customHeight="false" outlineLevel="0" collapsed="false">
      <c r="A12" s="27" t="s">
        <v>1047</v>
      </c>
      <c r="B12" s="63"/>
      <c r="E12" s="67" t="n">
        <f aca="false">SUMIFS(Rebates!$E$9:$AB$9,Assumptions!$E$209:$AB$209,Assumptions!E$209,Assumptions!$E$201:$AB$201,"&lt;="&amp;Assumptions!E$201)</f>
        <v>139038.6</v>
      </c>
      <c r="F12" s="67" t="n">
        <f aca="false">SUMIFS(Rebates!$E$9:$AB$9,Assumptions!$E$209:$AB$209,Assumptions!F$209,Assumptions!$E$201:$AB$201,"&lt;="&amp;Assumptions!F$201)</f>
        <v>312989.62</v>
      </c>
      <c r="G12" s="67" t="n">
        <f aca="false">SUMIFS(Rebates!$E$9:$AB$9,Assumptions!$E$209:$AB$209,Assumptions!G$209,Assumptions!$E$201:$AB$201,"&lt;="&amp;Assumptions!G$201)</f>
        <v>523900.66</v>
      </c>
      <c r="H12" s="67" t="n">
        <f aca="false">SUMIFS(Rebates!$E$9:$AB$9,Assumptions!$E$209:$AB$209,Assumptions!H$209,Assumptions!$E$201:$AB$201,"&lt;="&amp;Assumptions!H$201)</f>
        <v>170232.04</v>
      </c>
      <c r="I12" s="67" t="n">
        <f aca="false">SUMIFS(Rebates!$E$9:$AB$9,Assumptions!$E$209:$AB$209,Assumptions!I$209,Assumptions!$E$201:$AB$201,"&lt;="&amp;Assumptions!I$201)</f>
        <v>347699.73</v>
      </c>
      <c r="J12" s="67" t="n">
        <f aca="false">SUMIFS(Rebates!$E$9:$AB$9,Assumptions!$E$209:$AB$209,Assumptions!J$209,Assumptions!$E$201:$AB$201,"&lt;="&amp;Assumptions!J$201)</f>
        <v>569528.31</v>
      </c>
      <c r="K12" s="67" t="n">
        <f aca="false">SUMIFS(Rebates!$E$9:$AB$9,Assumptions!$E$209:$AB$209,Assumptions!K$209,Assumptions!$E$201:$AB$201,"&lt;="&amp;Assumptions!K$201)</f>
        <v>155099.36</v>
      </c>
      <c r="L12" s="67" t="n">
        <f aca="false">SUMIFS(Rebates!$E$9:$AB$9,Assumptions!$E$209:$AB$209,Assumptions!L$209,Assumptions!$E$201:$AB$201,"&lt;="&amp;Assumptions!L$201)</f>
        <v>236044.84</v>
      </c>
      <c r="M12" s="67" t="n">
        <f aca="false">SUMIFS(Rebates!$E$9:$AB$9,Assumptions!$E$209:$AB$209,Assumptions!M$209,Assumptions!$E$201:$AB$201,"&lt;="&amp;Assumptions!M$201)</f>
        <v>497203.427333333</v>
      </c>
      <c r="N12" s="67" t="n">
        <f aca="false">SUMIFS(Rebates!$E$9:$AB$9,Assumptions!$E$209:$AB$209,Assumptions!N$209,Assumptions!$E$201:$AB$201,"&lt;="&amp;Assumptions!N$201)</f>
        <v>237130.592344086</v>
      </c>
      <c r="O12" s="67" t="n">
        <f aca="false">SUMIFS(Rebates!$E$9:$AB$9,Assumptions!$E$209:$AB$209,Assumptions!O$209,Assumptions!$E$201:$AB$201,"&lt;="&amp;Assumptions!O$201)</f>
        <v>416922.965333333</v>
      </c>
      <c r="P12" s="67" t="n">
        <f aca="false">SUMIFS(Rebates!$E$9:$AB$9,Assumptions!$E$209:$AB$209,Assumptions!P$209,Assumptions!$E$201:$AB$201,"&lt;="&amp;Assumptions!P$201)</f>
        <v>584377.869763441</v>
      </c>
      <c r="Q12" s="67" t="n">
        <f aca="false">SUMIFS(Rebates!$E$9:$AB$9,Assumptions!$E$209:$AB$209,Assumptions!Q$209,Assumptions!$E$201:$AB$201,"&lt;="&amp;Assumptions!Q$201)</f>
        <v>151419.705806452</v>
      </c>
      <c r="R12" s="67" t="n">
        <f aca="false">SUMIFS(Rebates!$E$9:$AB$9,Assumptions!$E$209:$AB$209,Assumptions!R$209,Assumptions!$E$201:$AB$201,"&lt;="&amp;Assumptions!R$201)</f>
        <v>329636.252903226</v>
      </c>
      <c r="S12" s="67" t="n">
        <f aca="false">SUMIFS(Rebates!$E$9:$AB$9,Assumptions!$E$209:$AB$209,Assumptions!S$209,Assumptions!$E$201:$AB$201,"&lt;="&amp;Assumptions!S$201)</f>
        <v>522655.421935484</v>
      </c>
      <c r="T12" s="67" t="n">
        <f aca="false">SUMIFS(Rebates!$E$9:$AB$9,Assumptions!$E$209:$AB$209,Assumptions!T$209,Assumptions!$E$201:$AB$201,"&lt;="&amp;Assumptions!T$201)</f>
        <v>166709.897634409</v>
      </c>
      <c r="U12" s="67" t="n">
        <f aca="false">SUMIFS(Rebates!$E$9:$AB$9,Assumptions!$E$209:$AB$209,Assumptions!U$209,Assumptions!$E$201:$AB$201,"&lt;="&amp;Assumptions!U$201)</f>
        <v>349587.612903226</v>
      </c>
      <c r="V12" s="67" t="n">
        <f aca="false">SUMIFS(Rebates!$E$9:$AB$9,Assumptions!$E$209:$AB$209,Assumptions!V$209,Assumptions!$E$201:$AB$201,"&lt;="&amp;Assumptions!V$201)</f>
        <v>565616.180301075</v>
      </c>
      <c r="W12" s="67" t="n">
        <f aca="false">SUMIFS(Rebates!$E$9:$AB$9,Assumptions!$E$209:$AB$209,Assumptions!W$209,Assumptions!$E$201:$AB$201,"&lt;="&amp;Assumptions!W$201)</f>
        <v>147425.533247312</v>
      </c>
      <c r="X12" s="67" t="n">
        <f aca="false">SUMIFS(Rebates!$E$9:$AB$9,Assumptions!$E$209:$AB$209,Assumptions!X$209,Assumptions!$E$201:$AB$201,"&lt;="&amp;Assumptions!X$201)</f>
        <v>230039.375827957</v>
      </c>
      <c r="Y12" s="67" t="n">
        <f aca="false">SUMIFS(Rebates!$E$9:$AB$9,Assumptions!$E$209:$AB$209,Assumptions!Y$209,Assumptions!$E$201:$AB$201,"&lt;="&amp;Assumptions!Y$201)</f>
        <v>494793.728</v>
      </c>
      <c r="Z12" s="67" t="n">
        <f aca="false">SUMIFS(Rebates!$E$9:$AB$9,Assumptions!$E$209:$AB$209,Assumptions!Z$209,Assumptions!$E$201:$AB$201,"&lt;="&amp;Assumptions!Z$201)</f>
        <v>237130.592344086</v>
      </c>
      <c r="AA12" s="67" t="n">
        <f aca="false">SUMIFS(Rebates!$E$9:$AB$9,Assumptions!$E$209:$AB$209,Assumptions!AA$209,Assumptions!$E$201:$AB$201,"&lt;="&amp;Assumptions!AA$201)</f>
        <v>416922.965333333</v>
      </c>
      <c r="AB12" s="67" t="n">
        <f aca="false">SUMIFS(Rebates!$E$9:$AB$9,Assumptions!$E$209:$AB$209,Assumptions!AB$209,Assumptions!$E$201:$AB$201,"&lt;="&amp;Assumptions!AB$201)</f>
        <v>584377.869763441</v>
      </c>
    </row>
    <row r="13" customFormat="false" ht="15" hidden="false" customHeight="false" outlineLevel="0" collapsed="false">
      <c r="A13" s="59" t="s">
        <v>1048</v>
      </c>
      <c r="B13" s="60" t="s">
        <v>1049</v>
      </c>
      <c r="C13" s="61" t="n">
        <f aca="false">SUM(E13:P13)</f>
        <v>32625.1694564516</v>
      </c>
      <c r="D13" s="61" t="n">
        <f aca="false">SUM(Q13:AB13)</f>
        <v>32511.648</v>
      </c>
      <c r="E13" s="62" t="n">
        <f aca="false">IF(E$5="A",Inputs_Actuals!E120,E11*E12-IF(MOD(Assumptions!E$204-1,3)=0,0,0))</f>
        <v>2085.58</v>
      </c>
      <c r="F13" s="62" t="n">
        <f aca="false">IF(F$5="A",Inputs_Actuals!F120,F11*F12-IF(MOD(Assumptions!F$204-1,3)=0,0,E14))</f>
        <v>2609.27</v>
      </c>
      <c r="G13" s="62" t="n">
        <f aca="false">IF(G$5="A",Inputs_Actuals!G120,G11*G12-IF(MOD(Assumptions!G$204-1,3)=0,0,F14))</f>
        <v>3163.67</v>
      </c>
      <c r="H13" s="62" t="n">
        <f aca="false">IF(H$5="A",Inputs_Actuals!H120,H11*H12-IF(MOD(Assumptions!H$204-1,3)=0,0,G14))</f>
        <v>2553.48</v>
      </c>
      <c r="I13" s="62" t="n">
        <f aca="false">IF(I$5="A",Inputs_Actuals!I120,I11*I12-IF(MOD(Assumptions!I$204-1,3)=0,0,H14))</f>
        <v>2662.02</v>
      </c>
      <c r="J13" s="62" t="n">
        <f aca="false">IF(J$5="A",Inputs_Actuals!J120,J11*J12-IF(MOD(Assumptions!J$204-1,3)=0,0,I14))</f>
        <v>3327.43</v>
      </c>
      <c r="K13" s="62" t="n">
        <f aca="false">IF(K$5="A",Inputs_Actuals!K120,K11*K12-IF(MOD(Assumptions!K$204-1,3)=0,0,J14))</f>
        <v>2326.49</v>
      </c>
      <c r="L13" s="62" t="n">
        <f aca="false">IF(L$5="A",Inputs_Actuals!L120,L11*L12-IF(MOD(Assumptions!L$204-1,3)=0,0,K14))</f>
        <v>1214.18</v>
      </c>
      <c r="M13" s="62" t="n">
        <f aca="false">IF(M$5="A",Inputs_Actuals!M120,M11*M12-IF(MOD(Assumptions!M$204-1,3)=0,0,L14))</f>
        <v>3917.38141</v>
      </c>
      <c r="N13" s="62" t="n">
        <f aca="false">IF(N$5="A",Inputs_Actuals!N120,N11*N12-IF(MOD(Assumptions!N$204-1,3)=0,0,M14))</f>
        <v>3556.95888516129</v>
      </c>
      <c r="O13" s="62" t="n">
        <f aca="false">IF(O$5="A",Inputs_Actuals!O120,O11*O12-IF(MOD(Assumptions!O$204-1,3)=0,0,N14))</f>
        <v>2696.88559483871</v>
      </c>
      <c r="P13" s="62" t="n">
        <f aca="false">IF(P$5="A",Inputs_Actuals!P120,P11*P12-IF(MOD(Assumptions!P$204-1,3)=0,0,O14))</f>
        <v>2511.82356645161</v>
      </c>
      <c r="Q13" s="62" t="n">
        <f aca="false">IF(Q$5="A",Inputs_Actuals!Q120,Q11*Q12-IF(MOD(Assumptions!Q$204-1,3)=0,0,P14))</f>
        <v>2271.29558709677</v>
      </c>
      <c r="R13" s="62" t="n">
        <f aca="false">IF(R$5="A",Inputs_Actuals!R120,R11*R12-IF(MOD(Assumptions!R$204-1,3)=0,0,Q14))</f>
        <v>2673.24820645161</v>
      </c>
      <c r="S13" s="62" t="n">
        <f aca="false">IF(S$5="A",Inputs_Actuals!S120,S11*S12-IF(MOD(Assumptions!S$204-1,3)=0,0,R14))</f>
        <v>2895.28753548387</v>
      </c>
      <c r="T13" s="62" t="n">
        <f aca="false">IF(T$5="A",Inputs_Actuals!T120,T11*T12-IF(MOD(Assumptions!T$204-1,3)=0,0,S14))</f>
        <v>2500.64846451613</v>
      </c>
      <c r="U13" s="62" t="n">
        <f aca="false">IF(U$5="A",Inputs_Actuals!U120,U11*U12-IF(MOD(Assumptions!U$204-1,3)=0,0,T14))</f>
        <v>2743.16572903226</v>
      </c>
      <c r="V13" s="62" t="n">
        <f aca="false">IF(V$5="A",Inputs_Actuals!V120,V11*V12-IF(MOD(Assumptions!V$204-1,3)=0,0,U14))</f>
        <v>3240.42851096774</v>
      </c>
      <c r="W13" s="62" t="n">
        <f aca="false">IF(W$5="A",Inputs_Actuals!W120,W11*W12-IF(MOD(Assumptions!W$204-1,3)=0,0,V14))</f>
        <v>2211.38299870968</v>
      </c>
      <c r="X13" s="62" t="n">
        <f aca="false">IF(X$5="A",Inputs_Actuals!X120,X11*X12-IF(MOD(Assumptions!X$204-1,3)=0,0,W14))</f>
        <v>1239.20763870968</v>
      </c>
      <c r="Y13" s="62" t="n">
        <f aca="false">IF(Y$5="A",Inputs_Actuals!Y120,Y11*Y12-IF(MOD(Assumptions!Y$204-1,3)=0,0,X14))</f>
        <v>3971.31528258065</v>
      </c>
      <c r="Z13" s="62" t="n">
        <f aca="false">IF(Z$5="A",Inputs_Actuals!Z120,Z11*Z12-IF(MOD(Assumptions!Z$204-1,3)=0,0,Y14))</f>
        <v>3556.95888516129</v>
      </c>
      <c r="AA13" s="62" t="n">
        <f aca="false">IF(AA$5="A",Inputs_Actuals!AA120,AA11*AA12-IF(MOD(Assumptions!AA$204-1,3)=0,0,Z14))</f>
        <v>2696.88559483871</v>
      </c>
      <c r="AB13" s="62" t="n">
        <f aca="false">IF(AB$5="A",Inputs_Actuals!AB120,AB11*AB12-IF(MOD(Assumptions!AB$204-1,3)=0,0,AA14))</f>
        <v>2511.82356645161</v>
      </c>
    </row>
    <row r="14" customFormat="false" ht="15" hidden="false" customHeight="false" outlineLevel="0" collapsed="false">
      <c r="A14" s="27" t="s">
        <v>1050</v>
      </c>
      <c r="B14" s="63"/>
      <c r="E14" s="67" t="n">
        <f aca="false">IF(MOD(Assumptions!E$204-1,3)=0,0,0)+E13</f>
        <v>2085.58</v>
      </c>
      <c r="F14" s="67" t="n">
        <f aca="false">IF(MOD(Assumptions!F$204-1,3)=0,0,E14)+F13</f>
        <v>4694.85</v>
      </c>
      <c r="G14" s="67" t="n">
        <f aca="false">IF(MOD(Assumptions!G$204-1,3)=0,0,F14)+G13</f>
        <v>7858.52</v>
      </c>
      <c r="H14" s="67" t="n">
        <f aca="false">IF(MOD(Assumptions!H$204-1,3)=0,0,G14)+H13</f>
        <v>2553.48</v>
      </c>
      <c r="I14" s="67" t="n">
        <f aca="false">IF(MOD(Assumptions!I$204-1,3)=0,0,H14)+I13</f>
        <v>5215.5</v>
      </c>
      <c r="J14" s="67" t="n">
        <f aca="false">IF(MOD(Assumptions!J$204-1,3)=0,0,I14)+J13</f>
        <v>8542.93</v>
      </c>
      <c r="K14" s="67" t="n">
        <f aca="false">IF(MOD(Assumptions!K$204-1,3)=0,0,J14)+K13</f>
        <v>2326.49</v>
      </c>
      <c r="L14" s="67" t="n">
        <f aca="false">IF(MOD(Assumptions!L$204-1,3)=0,0,K14)+L13</f>
        <v>3540.67</v>
      </c>
      <c r="M14" s="67" t="n">
        <f aca="false">IF(MOD(Assumptions!M$204-1,3)=0,0,L14)+M13</f>
        <v>7458.05141</v>
      </c>
      <c r="N14" s="67" t="n">
        <f aca="false">IF(MOD(Assumptions!N$204-1,3)=0,0,M14)+N13</f>
        <v>3556.95888516129</v>
      </c>
      <c r="O14" s="67" t="n">
        <f aca="false">IF(MOD(Assumptions!O$204-1,3)=0,0,N14)+O13</f>
        <v>6253.84448</v>
      </c>
      <c r="P14" s="67" t="n">
        <f aca="false">IF(MOD(Assumptions!P$204-1,3)=0,0,O14)+P13</f>
        <v>8765.66804645161</v>
      </c>
      <c r="Q14" s="67" t="n">
        <f aca="false">IF(MOD(Assumptions!Q$204-1,3)=0,0,P14)+Q13</f>
        <v>2271.29558709677</v>
      </c>
      <c r="R14" s="67" t="n">
        <f aca="false">IF(MOD(Assumptions!R$204-1,3)=0,0,Q14)+R13</f>
        <v>4944.54379354839</v>
      </c>
      <c r="S14" s="67" t="n">
        <f aca="false">IF(MOD(Assumptions!S$204-1,3)=0,0,R14)+S13</f>
        <v>7839.83132903226</v>
      </c>
      <c r="T14" s="67" t="n">
        <f aca="false">IF(MOD(Assumptions!T$204-1,3)=0,0,S14)+T13</f>
        <v>2500.64846451613</v>
      </c>
      <c r="U14" s="67" t="n">
        <f aca="false">IF(MOD(Assumptions!U$204-1,3)=0,0,T14)+U13</f>
        <v>5243.81419354839</v>
      </c>
      <c r="V14" s="67" t="n">
        <f aca="false">IF(MOD(Assumptions!V$204-1,3)=0,0,U14)+V13</f>
        <v>8484.24270451613</v>
      </c>
      <c r="W14" s="67" t="n">
        <f aca="false">IF(MOD(Assumptions!W$204-1,3)=0,0,V14)+W13</f>
        <v>2211.38299870968</v>
      </c>
      <c r="X14" s="67" t="n">
        <f aca="false">IF(MOD(Assumptions!X$204-1,3)=0,0,W14)+X13</f>
        <v>3450.59063741936</v>
      </c>
      <c r="Y14" s="67" t="n">
        <f aca="false">IF(MOD(Assumptions!Y$204-1,3)=0,0,X14)+Y13</f>
        <v>7421.90592</v>
      </c>
      <c r="Z14" s="67" t="n">
        <f aca="false">IF(MOD(Assumptions!Z$204-1,3)=0,0,Y14)+Z13</f>
        <v>3556.95888516129</v>
      </c>
      <c r="AA14" s="67" t="n">
        <f aca="false">IF(MOD(Assumptions!AA$204-1,3)=0,0,Z14)+AA13</f>
        <v>6253.84448</v>
      </c>
      <c r="AB14" s="67" t="n">
        <f aca="false">IF(MOD(Assumptions!AB$204-1,3)=0,0,AA14)+AB13</f>
        <v>8765.66804645161</v>
      </c>
    </row>
    <row r="15" customFormat="false" ht="15" hidden="false" customHeight="false" outlineLevel="0" collapsed="false">
      <c r="A15" s="27" t="s">
        <v>1051</v>
      </c>
      <c r="B15" s="63" t="s">
        <v>1052</v>
      </c>
      <c r="C15" s="66" t="n">
        <f aca="false">SUM(E15:P15)</f>
        <v>43472.42141</v>
      </c>
      <c r="D15" s="66" t="n">
        <f aca="false">SUM(Q15:AB15)</f>
        <v>32511.648</v>
      </c>
      <c r="E15" s="67" t="n">
        <f aca="false">IF(E$5="A",Inputs_Actuals!E259,IF(MOD(Assumptions!E$204,3)=2,SUMIFS(Rebates!$E$13:$AB$13,Assumptions!$E$209:$AB$209,Assumptions!E$209-1),0))</f>
        <v>0</v>
      </c>
      <c r="F15" s="67" t="n">
        <f aca="false">IF(F$5="A",Inputs_Actuals!F259,IF(MOD(Assumptions!F$204,3)=2,SUMIFS(Rebates!$E$13:$AB$13,Assumptions!$E$209:$AB$209,Assumptions!F$209-1),0))</f>
        <v>19612.92</v>
      </c>
      <c r="G15" s="67" t="n">
        <f aca="false">IF(G$5="A",Inputs_Actuals!G259,IF(MOD(Assumptions!G$204,3)=2,SUMIFS(Rebates!$E$13:$AB$13,Assumptions!$E$209:$AB$209,Assumptions!G$209-1),0))</f>
        <v>0</v>
      </c>
      <c r="H15" s="67" t="n">
        <f aca="false">IF(H$5="A",Inputs_Actuals!H259,IF(MOD(Assumptions!H$204,3)=2,SUMIFS(Rebates!$E$13:$AB$13,Assumptions!$E$209:$AB$209,Assumptions!H$209-1),0))</f>
        <v>0</v>
      </c>
      <c r="I15" s="67" t="n">
        <f aca="false">IF(I$5="A",Inputs_Actuals!I259,IF(MOD(Assumptions!I$204,3)=2,SUMIFS(Rebates!$E$13:$AB$13,Assumptions!$E$209:$AB$209,Assumptions!I$209-1),0))</f>
        <v>7858.52</v>
      </c>
      <c r="J15" s="67" t="n">
        <f aca="false">IF(J$5="A",Inputs_Actuals!J259,IF(MOD(Assumptions!J$204,3)=2,SUMIFS(Rebates!$E$13:$AB$13,Assumptions!$E$209:$AB$209,Assumptions!J$209-1),0))</f>
        <v>0</v>
      </c>
      <c r="K15" s="67" t="n">
        <f aca="false">IF(K$5="A",Inputs_Actuals!K259,IF(MOD(Assumptions!K$204,3)=2,SUMIFS(Rebates!$E$13:$AB$13,Assumptions!$E$209:$AB$209,Assumptions!K$209-1),0))</f>
        <v>0</v>
      </c>
      <c r="L15" s="67" t="n">
        <f aca="false">IF(L$5="A",Inputs_Actuals!L259,IF(MOD(Assumptions!L$204,3)=2,SUMIFS(Rebates!$E$13:$AB$13,Assumptions!$E$209:$AB$209,Assumptions!L$209-1),0))</f>
        <v>8542.93</v>
      </c>
      <c r="M15" s="67" t="n">
        <f aca="false">IF(M$5="A",Inputs_Actuals!M259,IF(MOD(Assumptions!M$204,3)=2,SUMIFS(Rebates!$E$13:$AB$13,Assumptions!$E$209:$AB$209,Assumptions!M$209-1),0))</f>
        <v>0</v>
      </c>
      <c r="N15" s="67" t="n">
        <f aca="false">IF(N$5="A",Inputs_Actuals!N259,IF(MOD(Assumptions!N$204,3)=2,SUMIFS(Rebates!$E$13:$AB$13,Assumptions!$E$209:$AB$209,Assumptions!N$209-1),0))</f>
        <v>0</v>
      </c>
      <c r="O15" s="67" t="n">
        <f aca="false">IF(O$5="A",Inputs_Actuals!O259,IF(MOD(Assumptions!O$204,3)=2,SUMIFS(Rebates!$E$13:$AB$13,Assumptions!$E$209:$AB$209,Assumptions!O$209-1),0))</f>
        <v>7458.05141</v>
      </c>
      <c r="P15" s="67" t="n">
        <f aca="false">IF(P$5="A",Inputs_Actuals!P259,IF(MOD(Assumptions!P$204,3)=2,SUMIFS(Rebates!$E$13:$AB$13,Assumptions!$E$209:$AB$209,Assumptions!P$209-1),0))</f>
        <v>0</v>
      </c>
      <c r="Q15" s="67" t="n">
        <f aca="false">IF(Q$5="A",Inputs_Actuals!Q259,IF(MOD(Assumptions!Q$204,3)=2,SUMIFS(Rebates!$E$13:$AB$13,Assumptions!$E$209:$AB$209,Assumptions!Q$209-1),0))</f>
        <v>0</v>
      </c>
      <c r="R15" s="67" t="n">
        <f aca="false">IF(R$5="A",Inputs_Actuals!R259,IF(MOD(Assumptions!R$204,3)=2,SUMIFS(Rebates!$E$13:$AB$13,Assumptions!$E$209:$AB$209,Assumptions!R$209-1),0))</f>
        <v>8765.66804645161</v>
      </c>
      <c r="S15" s="67" t="n">
        <f aca="false">IF(S$5="A",Inputs_Actuals!S259,IF(MOD(Assumptions!S$204,3)=2,SUMIFS(Rebates!$E$13:$AB$13,Assumptions!$E$209:$AB$209,Assumptions!S$209-1),0))</f>
        <v>0</v>
      </c>
      <c r="T15" s="67" t="n">
        <f aca="false">IF(T$5="A",Inputs_Actuals!T259,IF(MOD(Assumptions!T$204,3)=2,SUMIFS(Rebates!$E$13:$AB$13,Assumptions!$E$209:$AB$209,Assumptions!T$209-1),0))</f>
        <v>0</v>
      </c>
      <c r="U15" s="67" t="n">
        <f aca="false">IF(U$5="A",Inputs_Actuals!U259,IF(MOD(Assumptions!U$204,3)=2,SUMIFS(Rebates!$E$13:$AB$13,Assumptions!$E$209:$AB$209,Assumptions!U$209-1),0))</f>
        <v>7839.83132903226</v>
      </c>
      <c r="V15" s="67" t="n">
        <f aca="false">IF(V$5="A",Inputs_Actuals!V259,IF(MOD(Assumptions!V$204,3)=2,SUMIFS(Rebates!$E$13:$AB$13,Assumptions!$E$209:$AB$209,Assumptions!V$209-1),0))</f>
        <v>0</v>
      </c>
      <c r="W15" s="67" t="n">
        <f aca="false">IF(W$5="A",Inputs_Actuals!W259,IF(MOD(Assumptions!W$204,3)=2,SUMIFS(Rebates!$E$13:$AB$13,Assumptions!$E$209:$AB$209,Assumptions!W$209-1),0))</f>
        <v>0</v>
      </c>
      <c r="X15" s="67" t="n">
        <f aca="false">IF(X$5="A",Inputs_Actuals!X259,IF(MOD(Assumptions!X$204,3)=2,SUMIFS(Rebates!$E$13:$AB$13,Assumptions!$E$209:$AB$209,Assumptions!X$209-1),0))</f>
        <v>8484.24270451613</v>
      </c>
      <c r="Y15" s="67" t="n">
        <f aca="false">IF(Y$5="A",Inputs_Actuals!Y259,IF(MOD(Assumptions!Y$204,3)=2,SUMIFS(Rebates!$E$13:$AB$13,Assumptions!$E$209:$AB$209,Assumptions!Y$209-1),0))</f>
        <v>0</v>
      </c>
      <c r="Z15" s="67" t="n">
        <f aca="false">IF(Z$5="A",Inputs_Actuals!Z259,IF(MOD(Assumptions!Z$204,3)=2,SUMIFS(Rebates!$E$13:$AB$13,Assumptions!$E$209:$AB$209,Assumptions!Z$209-1),0))</f>
        <v>0</v>
      </c>
      <c r="AA15" s="67" t="n">
        <f aca="false">IF(AA$5="A",Inputs_Actuals!AA259,IF(MOD(Assumptions!AA$204,3)=2,SUMIFS(Rebates!$E$13:$AB$13,Assumptions!$E$209:$AB$209,Assumptions!AA$209-1),0))</f>
        <v>7421.90592</v>
      </c>
      <c r="AB15" s="67" t="n">
        <f aca="false">IF(AB$5="A",Inputs_Actuals!AB259,IF(MOD(Assumptions!AB$204,3)=2,SUMIFS(Rebates!$E$13:$AB$13,Assumptions!$E$209:$AB$209,Assumptions!AB$209-1),0))</f>
        <v>0</v>
      </c>
    </row>
    <row r="16" customFormat="false" ht="15" hidden="false" customHeight="false" outlineLevel="0" collapsed="false">
      <c r="A16" s="21" t="s">
        <v>1053</v>
      </c>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row>
    <row r="17" customFormat="false" ht="15" hidden="false" customHeight="false" outlineLevel="0" collapsed="false">
      <c r="A17" s="27" t="s">
        <v>1054</v>
      </c>
      <c r="B17" s="63" t="s">
        <v>1055</v>
      </c>
      <c r="C17" s="66" t="n">
        <f aca="false">SUM(E17:P17)</f>
        <v>30217.5406402328</v>
      </c>
      <c r="D17" s="66" t="n">
        <f aca="false">SUM(Q17:AB17)</f>
        <v>33461.8414630045</v>
      </c>
      <c r="E17" s="67" t="n">
        <f aca="false">IF(E$5="A",Inputs_Actuals!E121,Assumptions!$C$133*(Licences!E10+Licences!E17))</f>
        <v>7217.99</v>
      </c>
      <c r="F17" s="67" t="n">
        <f aca="false">IF(F$5="A",Inputs_Actuals!F121,Assumptions!$C$133*(Licences!F10+Licences!F17))</f>
        <v>1970.37</v>
      </c>
      <c r="G17" s="67" t="n">
        <f aca="false">IF(G$5="A",Inputs_Actuals!G121,Assumptions!$C$133*(Licences!G10+Licences!G17))</f>
        <v>2150.03</v>
      </c>
      <c r="H17" s="67" t="n">
        <f aca="false">IF(H$5="A",Inputs_Actuals!H121,Assumptions!$C$133*(Licences!H10+Licences!H17))</f>
        <v>2055</v>
      </c>
      <c r="I17" s="67" t="n">
        <f aca="false">IF(I$5="A",Inputs_Actuals!I121,Assumptions!$C$133*(Licences!I10+Licences!I17))</f>
        <v>1904.3</v>
      </c>
      <c r="J17" s="67" t="n">
        <f aca="false">IF(J$5="A",Inputs_Actuals!J121,Assumptions!$C$133*(Licences!J10+Licences!J17))</f>
        <v>2079.79</v>
      </c>
      <c r="K17" s="67" t="n">
        <f aca="false">IF(K$5="A",Inputs_Actuals!K121,Assumptions!$C$133*(Licences!K10+Licences!K17))</f>
        <v>1997.76</v>
      </c>
      <c r="L17" s="67" t="n">
        <f aca="false">IF(L$5="A",Inputs_Actuals!L121,Assumptions!$C$133*(Licences!L10+Licences!L17))</f>
        <v>1888.33</v>
      </c>
      <c r="M17" s="67" t="n">
        <f aca="false">IF(M$5="A",Inputs_Actuals!M121,Assumptions!$C$133*(Licences!M10+Licences!M17))</f>
        <v>2268.58226685</v>
      </c>
      <c r="N17" s="67" t="n">
        <f aca="false">IF(N$5="A",Inputs_Actuals!N121,Assumptions!$C$133*(Licences!N10+Licences!N17))</f>
        <v>2095.40415666957</v>
      </c>
      <c r="O17" s="67" t="n">
        <f aca="false">IF(O$5="A",Inputs_Actuals!O121,Assumptions!$C$133*(Licences!O10+Licences!O17))</f>
        <v>2141.23823280654</v>
      </c>
      <c r="P17" s="67" t="n">
        <f aca="false">IF(P$5="A",Inputs_Actuals!P121,Assumptions!$C$133*(Licences!P10+Licences!P17))</f>
        <v>2448.74598390665</v>
      </c>
      <c r="Q17" s="67" t="n">
        <f aca="false">IF(Q$5="A",Inputs_Actuals!Q121,Assumptions!$C$133*(Licences!Q10+Licences!Q17))</f>
        <v>7713.08408446704</v>
      </c>
      <c r="R17" s="67" t="n">
        <f aca="false">IF(R$5="A",Inputs_Actuals!R121,Assumptions!$C$133*(Licences!R10+Licences!R17))</f>
        <v>2280.13812064607</v>
      </c>
      <c r="S17" s="67" t="n">
        <f aca="false">IF(S$5="A",Inputs_Actuals!S121,Assumptions!$C$133*(Licences!S10+Licences!S17))</f>
        <v>2409.78134949737</v>
      </c>
      <c r="T17" s="67" t="n">
        <f aca="false">IF(T$5="A",Inputs_Actuals!T121,Assumptions!$C$133*(Licences!T10+Licences!T17))</f>
        <v>2325.93004102506</v>
      </c>
      <c r="U17" s="67" t="n">
        <f aca="false">IF(U$5="A",Inputs_Actuals!U121,Assumptions!$C$133*(Licences!U10+Licences!U17))</f>
        <v>2202.6678601963</v>
      </c>
      <c r="V17" s="67" t="n">
        <f aca="false">IF(V$5="A",Inputs_Actuals!V121,Assumptions!$C$133*(Licences!V10+Licences!V17))</f>
        <v>2389.85220110331</v>
      </c>
      <c r="W17" s="67" t="n">
        <f aca="false">IF(W$5="A",Inputs_Actuals!W121,Assumptions!$C$133*(Licences!W10+Licences!W17))</f>
        <v>2257.48743835739</v>
      </c>
      <c r="X17" s="67" t="n">
        <f aca="false">IF(X$5="A",Inputs_Actuals!X121,Assumptions!$C$133*(Licences!X10+Licences!X17))</f>
        <v>2125.74232700269</v>
      </c>
      <c r="Y17" s="67" t="n">
        <f aca="false">IF(Y$5="A",Inputs_Actuals!Y121,Assumptions!$C$133*(Licences!Y10+Licences!Y17))</f>
        <v>2521.12007858782</v>
      </c>
      <c r="Z17" s="67" t="n">
        <f aca="false">IF(Z$5="A",Inputs_Actuals!Z121,Assumptions!$C$133*(Licences!Z10+Licences!Z17))</f>
        <v>2351.68800723989</v>
      </c>
      <c r="AA17" s="67" t="n">
        <f aca="false">IF(AA$5="A",Inputs_Actuals!AA121,Assumptions!$C$133*(Licences!AA10+Licences!AA17))</f>
        <v>2279.56665843454</v>
      </c>
      <c r="AB17" s="67" t="n">
        <f aca="false">IF(AB$5="A",Inputs_Actuals!AB121,Assumptions!$C$133*(Licences!AB10+Licences!AB17))</f>
        <v>2604.78329644706</v>
      </c>
    </row>
    <row r="18" customFormat="false" ht="15" hidden="false" customHeight="false" outlineLevel="0" collapsed="false">
      <c r="A18" s="27" t="s">
        <v>1056</v>
      </c>
      <c r="B18" s="63" t="s">
        <v>1057</v>
      </c>
      <c r="C18" s="66" t="n">
        <f aca="false">SUM(E18:P18)</f>
        <v>20811.1724579696</v>
      </c>
      <c r="D18" s="66" t="n">
        <f aca="false">SUM(Q18:AB18)</f>
        <v>23679.2187430045</v>
      </c>
      <c r="E18" s="67" t="n">
        <f aca="false">IF((Licences!E10+Licences!E17)=0,0,E17*Licences!E10/(Licences!E10+Licences!E17))</f>
        <v>1666.18823092799</v>
      </c>
      <c r="F18" s="67" t="n">
        <f aca="false">IF((Licences!F10+Licences!F17)=0,0,F17*Licences!F10/(Licences!F10+Licences!F17))</f>
        <v>1671.69036380534</v>
      </c>
      <c r="G18" s="67" t="n">
        <f aca="false">IF((Licences!G10+Licences!G17)=0,0,G17*Licences!G10/(Licences!G10+Licences!G17))</f>
        <v>1712.27075334261</v>
      </c>
      <c r="H18" s="67" t="n">
        <f aca="false">IF((Licences!H10+Licences!H17)=0,0,H17*Licences!H10/(Licences!H10+Licences!H17))</f>
        <v>1715.28039675282</v>
      </c>
      <c r="I18" s="67" t="n">
        <f aca="false">IF((Licences!I10+Licences!I17)=0,0,I17*Licences!I10/(Licences!I10+Licences!I17))</f>
        <v>1685.41970115592</v>
      </c>
      <c r="J18" s="67" t="n">
        <f aca="false">IF((Licences!J10+Licences!J17)=0,0,J17*Licences!J10/(Licences!J10+Licences!J17))</f>
        <v>1685.35037930716</v>
      </c>
      <c r="K18" s="67" t="n">
        <f aca="false">IF((Licences!K10+Licences!K17)=0,0,K17*Licences!K10/(Licences!K10+Licences!K17))</f>
        <v>1733.27972198433</v>
      </c>
      <c r="L18" s="67" t="n">
        <f aca="false">IF((Licences!L10+Licences!L17)=0,0,L17*Licences!L10/(Licences!L10+Licences!L17))</f>
        <v>1742.4102704607</v>
      </c>
      <c r="M18" s="67" t="n">
        <f aca="false">IF((Licences!M10+Licences!M17)=0,0,M17*Licences!M10/(Licences!M10+Licences!M17))</f>
        <v>1746.91826685</v>
      </c>
      <c r="N18" s="67" t="n">
        <f aca="false">IF((Licences!N10+Licences!N17)=0,0,N17*Licences!N10/(Licences!N10+Licences!N17))</f>
        <v>1739.72415666957</v>
      </c>
      <c r="O18" s="67" t="n">
        <f aca="false">IF((Licences!O10+Licences!O17)=0,0,O17*Licences!O10/(Licences!O10+Licences!O17))</f>
        <v>1856.69423280654</v>
      </c>
      <c r="P18" s="67" t="n">
        <f aca="false">IF((Licences!P10+Licences!P17)=0,0,P17*Licences!P10/(Licences!P10+Licences!P17))</f>
        <v>1855.94598390665</v>
      </c>
      <c r="Q18" s="67" t="n">
        <f aca="false">IF((Licences!Q10+Licences!Q17)=0,0,Q17*Licences!Q10/(Licences!Q10+Licences!Q17))</f>
        <v>1939.21208446704</v>
      </c>
      <c r="R18" s="67" t="n">
        <f aca="false">IF((Licences!R10+Licences!R17)=0,0,R17*Licences!R10/(Licences!R10+Licences!R17))</f>
        <v>1969.51092064607</v>
      </c>
      <c r="S18" s="67" t="n">
        <f aca="false">IF((Licences!S10+Licences!S17)=0,0,S17*Licences!S10/(Licences!S10+Licences!S17))</f>
        <v>1954.51094949737</v>
      </c>
      <c r="T18" s="67" t="n">
        <f aca="false">IF((Licences!T10+Licences!T17)=0,0,T17*Licences!T10/(Licences!T10+Licences!T17))</f>
        <v>1972.62124102506</v>
      </c>
      <c r="U18" s="67" t="n">
        <f aca="false">IF((Licences!U10+Licences!U17)=0,0,U17*Licences!U10/(Licences!U10+Licences!U17))</f>
        <v>1975.0326601963</v>
      </c>
      <c r="V18" s="67" t="n">
        <f aca="false">IF((Licences!V10+Licences!V17)=0,0,V17*Licences!V10/(Licences!V10+Licences!V17))</f>
        <v>1979.63460110331</v>
      </c>
      <c r="W18" s="67" t="n">
        <f aca="false">IF((Licences!W10+Licences!W17)=0,0,W17*Licences!W10/(Licences!W10+Licences!W17))</f>
        <v>1982.42823835739</v>
      </c>
      <c r="X18" s="67" t="n">
        <f aca="false">IF((Licences!X10+Licences!X17)=0,0,X17*Licences!X10/(Licences!X10+Licences!X17))</f>
        <v>1973.98552700269</v>
      </c>
      <c r="Y18" s="67" t="n">
        <f aca="false">IF((Licences!Y10+Licences!Y17)=0,0,Y17*Licences!Y10/(Licences!Y10+Licences!Y17))</f>
        <v>1978.58951858782</v>
      </c>
      <c r="Z18" s="67" t="n">
        <f aca="false">IF((Licences!Z10+Licences!Z17)=0,0,Z17*Licences!Z10/(Licences!Z10+Licences!Z17))</f>
        <v>1981.78080723988</v>
      </c>
      <c r="AA18" s="67" t="n">
        <f aca="false">IF((Licences!AA10+Licences!AA17)=0,0,AA17*Licences!AA10/(Licences!AA10+Licences!AA17))</f>
        <v>1983.64089843454</v>
      </c>
      <c r="AB18" s="67" t="n">
        <f aca="false">IF((Licences!AB10+Licences!AB17)=0,0,AB17*Licences!AB10/(Licences!AB10+Licences!AB17))</f>
        <v>1988.27129644706</v>
      </c>
    </row>
    <row r="19" customFormat="false" ht="15" hidden="false" customHeight="false" outlineLevel="0" collapsed="false">
      <c r="A19" s="27" t="s">
        <v>1058</v>
      </c>
      <c r="B19" s="63"/>
      <c r="C19" s="66" t="n">
        <f aca="false">SUM(E19:P19)</f>
        <v>9406.36818226312</v>
      </c>
      <c r="D19" s="66" t="n">
        <f aca="false">SUM(Q19:AB19)</f>
        <v>9782.62272</v>
      </c>
      <c r="E19" s="76" t="n">
        <f aca="false">E17-E18</f>
        <v>5551.80176907201</v>
      </c>
      <c r="F19" s="76" t="n">
        <f aca="false">F17-F18</f>
        <v>298.679636194661</v>
      </c>
      <c r="G19" s="76" t="n">
        <f aca="false">G17-G18</f>
        <v>437.75924665739</v>
      </c>
      <c r="H19" s="76" t="n">
        <f aca="false">H17-H18</f>
        <v>339.719603247179</v>
      </c>
      <c r="I19" s="76" t="n">
        <f aca="false">I17-I18</f>
        <v>218.880298844078</v>
      </c>
      <c r="J19" s="76" t="n">
        <f aca="false">J17-J18</f>
        <v>394.439620692838</v>
      </c>
      <c r="K19" s="76" t="n">
        <f aca="false">K17-K18</f>
        <v>264.480278015669</v>
      </c>
      <c r="L19" s="76" t="n">
        <f aca="false">L17-L18</f>
        <v>145.9197295393</v>
      </c>
      <c r="M19" s="76" t="n">
        <f aca="false">M17-M18</f>
        <v>521.664</v>
      </c>
      <c r="N19" s="76" t="n">
        <f aca="false">N17-N18</f>
        <v>355.68</v>
      </c>
      <c r="O19" s="76" t="n">
        <f aca="false">O17-O18</f>
        <v>284.544</v>
      </c>
      <c r="P19" s="76" t="n">
        <f aca="false">P17-P18</f>
        <v>592.8</v>
      </c>
      <c r="Q19" s="76" t="n">
        <f aca="false">Q17-Q18</f>
        <v>5773.872</v>
      </c>
      <c r="R19" s="76" t="n">
        <f aca="false">R17-R18</f>
        <v>310.6272</v>
      </c>
      <c r="S19" s="76" t="n">
        <f aca="false">S17-S18</f>
        <v>455.2704</v>
      </c>
      <c r="T19" s="76" t="n">
        <f aca="false">T17-T18</f>
        <v>353.3088</v>
      </c>
      <c r="U19" s="76" t="n">
        <f aca="false">U17-U18</f>
        <v>227.6352</v>
      </c>
      <c r="V19" s="76" t="n">
        <f aca="false">V17-V18</f>
        <v>410.2176</v>
      </c>
      <c r="W19" s="76" t="n">
        <f aca="false">W17-W18</f>
        <v>275.0592</v>
      </c>
      <c r="X19" s="76" t="n">
        <f aca="false">X17-X18</f>
        <v>151.7568</v>
      </c>
      <c r="Y19" s="76" t="n">
        <f aca="false">Y17-Y18</f>
        <v>542.53056</v>
      </c>
      <c r="Z19" s="76" t="n">
        <f aca="false">Z17-Z18</f>
        <v>369.9072</v>
      </c>
      <c r="AA19" s="76" t="n">
        <f aca="false">AA17-AA18</f>
        <v>295.92576</v>
      </c>
      <c r="AB19" s="76" t="n">
        <f aca="false">AB17-AB18</f>
        <v>616.512</v>
      </c>
    </row>
    <row r="20" customFormat="false" ht="15" hidden="false" customHeight="false" outlineLevel="0" collapsed="false">
      <c r="A20" s="27" t="s">
        <v>1059</v>
      </c>
      <c r="B20" s="63" t="s">
        <v>1060</v>
      </c>
      <c r="C20" s="66" t="n">
        <f aca="false">SUM(E20:P20)</f>
        <v>18829.92375</v>
      </c>
      <c r="D20" s="66" t="n">
        <f aca="false">SUM(Q20:AB20)</f>
        <v>18192.06</v>
      </c>
      <c r="E20" s="67" t="n">
        <f aca="false">IF(E$5="A",Inputs_Actuals!E122,Assumptions!$C$133*Licences!E23)</f>
        <v>1300.95</v>
      </c>
      <c r="F20" s="67" t="n">
        <f aca="false">IF(F$5="A",Inputs_Actuals!F122,Assumptions!$C$133*Licences!F23)</f>
        <v>1433.7</v>
      </c>
      <c r="G20" s="67" t="n">
        <f aca="false">IF(G$5="A",Inputs_Actuals!G122,Assumptions!$C$133*Licences!G23)</f>
        <v>1752.3</v>
      </c>
      <c r="H20" s="67" t="n">
        <f aca="false">IF(H$5="A",Inputs_Actuals!H122,Assumptions!$C$133*Licences!H23)</f>
        <v>1513.35</v>
      </c>
      <c r="I20" s="67" t="n">
        <f aca="false">IF(I$5="A",Inputs_Actuals!I122,Assumptions!$C$133*Licences!I23)</f>
        <v>1539.9</v>
      </c>
      <c r="J20" s="67" t="n">
        <f aca="false">IF(J$5="A",Inputs_Actuals!J122,Assumptions!$C$133*Licences!J23)</f>
        <v>1619.55</v>
      </c>
      <c r="K20" s="67" t="n">
        <f aca="false">IF(K$5="A",Inputs_Actuals!K122,Assumptions!$C$133*Licences!K23)</f>
        <v>1460.25</v>
      </c>
      <c r="L20" s="67" t="n">
        <f aca="false">IF(L$5="A",Inputs_Actuals!L122,Assumptions!$C$133*Licences!L23)</f>
        <v>1008.9</v>
      </c>
      <c r="M20" s="67" t="n">
        <f aca="false">IF(M$5="A",Inputs_Actuals!M122,Assumptions!$C$133*Licences!M23)</f>
        <v>1622.12535</v>
      </c>
      <c r="N20" s="67" t="n">
        <f aca="false">IF(N$5="A",Inputs_Actuals!N122,Assumptions!$C$133*Licences!N23)</f>
        <v>1728.2457</v>
      </c>
      <c r="O20" s="67" t="n">
        <f aca="false">IF(O$5="A",Inputs_Actuals!O122,Assumptions!$C$133*Licences!O23)</f>
        <v>1849.5261</v>
      </c>
      <c r="P20" s="67" t="n">
        <f aca="false">IF(P$5="A",Inputs_Actuals!P122,Assumptions!$C$133*Licences!P23)</f>
        <v>2001.1266</v>
      </c>
      <c r="Q20" s="67" t="n">
        <f aca="false">IF(Q$5="A",Inputs_Actuals!Q122,Assumptions!$C$133*Licences!Q23)</f>
        <v>1243.1241</v>
      </c>
      <c r="R20" s="67" t="n">
        <f aca="false">IF(R$5="A",Inputs_Actuals!R122,Assumptions!$C$133*Licences!R23)</f>
        <v>1334.0844</v>
      </c>
      <c r="S20" s="67" t="n">
        <f aca="false">IF(S$5="A",Inputs_Actuals!S122,Assumptions!$C$133*Licences!S23)</f>
        <v>1637.2854</v>
      </c>
      <c r="T20" s="67" t="n">
        <f aca="false">IF(T$5="A",Inputs_Actuals!T122,Assumptions!$C$133*Licences!T23)</f>
        <v>1409.88465</v>
      </c>
      <c r="U20" s="67" t="n">
        <f aca="false">IF(U$5="A",Inputs_Actuals!U122,Assumptions!$C$133*Licences!U23)</f>
        <v>1455.3648</v>
      </c>
      <c r="V20" s="67" t="n">
        <f aca="false">IF(V$5="A",Inputs_Actuals!V122,Assumptions!$C$133*Licences!V23)</f>
        <v>1546.3251</v>
      </c>
      <c r="W20" s="67" t="n">
        <f aca="false">IF(W$5="A",Inputs_Actuals!W122,Assumptions!$C$133*Licences!W23)</f>
        <v>1394.7246</v>
      </c>
      <c r="X20" s="67" t="n">
        <f aca="false">IF(X$5="A",Inputs_Actuals!X122,Assumptions!$C$133*Licences!X23)</f>
        <v>970.2432</v>
      </c>
      <c r="Y20" s="67" t="n">
        <f aca="false">IF(Y$5="A",Inputs_Actuals!Y122,Assumptions!$C$133*Licences!Y23)</f>
        <v>1622.12535</v>
      </c>
      <c r="Z20" s="67" t="n">
        <f aca="false">IF(Z$5="A",Inputs_Actuals!Z122,Assumptions!$C$133*Licences!Z23)</f>
        <v>1728.2457</v>
      </c>
      <c r="AA20" s="67" t="n">
        <f aca="false">IF(AA$5="A",Inputs_Actuals!AA122,Assumptions!$C$133*Licences!AA23)</f>
        <v>1849.5261</v>
      </c>
      <c r="AB20" s="67" t="n">
        <f aca="false">IF(AB$5="A",Inputs_Actuals!AB122,Assumptions!$C$133*Licences!AB23)</f>
        <v>2001.1266</v>
      </c>
    </row>
    <row r="21" customFormat="false" ht="15" hidden="false" customHeight="false" outlineLevel="0" collapsed="false">
      <c r="A21" s="27" t="s">
        <v>1061</v>
      </c>
      <c r="B21" s="63" t="s">
        <v>1062</v>
      </c>
      <c r="C21" s="66" t="n">
        <f aca="false">SUM(E21:P21)</f>
        <v>49313.55761685</v>
      </c>
      <c r="D21" s="66" t="n">
        <f aca="false">SUM(Q21:AB21)</f>
        <v>51103.2518742658</v>
      </c>
      <c r="E21" s="67" t="n">
        <f aca="false">IF(E$5="A",Inputs_Actuals!E260,IF(MOD(Assumptions!E$204,3)=2,SUMIFS(Rebates!$E$17:$AB$17,Assumptions!$E$209:$AB$209,Assumptions!E$209-1)+SUMIFS(Rebates!$E$20:$AB$20,Assumptions!$E$209:$AB$209,Assumptions!E$209-1),0))</f>
        <v>0</v>
      </c>
      <c r="F21" s="67" t="n">
        <f aca="false">IF(F$5="A",Inputs_Actuals!F260,IF(MOD(Assumptions!F$204,3)=2,SUMIFS(Rebates!$E$17:$AB$17,Assumptions!$E$209:$AB$209,Assumptions!F$209-1)+SUMIFS(Rebates!$E$20:$AB$20,Assumptions!$E$209:$AB$209,Assumptions!F$209-1),0))</f>
        <v>12530.38</v>
      </c>
      <c r="G21" s="67" t="n">
        <f aca="false">IF(G$5="A",Inputs_Actuals!G260,IF(MOD(Assumptions!G$204,3)=2,SUMIFS(Rebates!$E$17:$AB$17,Assumptions!$E$209:$AB$209,Assumptions!G$209-1)+SUMIFS(Rebates!$E$20:$AB$20,Assumptions!$E$209:$AB$209,Assumptions!G$209-1),0))</f>
        <v>0</v>
      </c>
      <c r="H21" s="67" t="n">
        <f aca="false">IF(H$5="A",Inputs_Actuals!H260,IF(MOD(Assumptions!H$204,3)=2,SUMIFS(Rebates!$E$17:$AB$17,Assumptions!$E$209:$AB$209,Assumptions!H$209-1)+SUMIFS(Rebates!$E$20:$AB$20,Assumptions!$E$209:$AB$209,Assumptions!H$209-1),0))</f>
        <v>0</v>
      </c>
      <c r="I21" s="67" t="n">
        <f aca="false">IF(I$5="A",Inputs_Actuals!I260,IF(MOD(Assumptions!I$204,3)=2,SUMIFS(Rebates!$E$17:$AB$17,Assumptions!$E$209:$AB$209,Assumptions!I$209-1)+SUMIFS(Rebates!$E$20:$AB$20,Assumptions!$E$209:$AB$209,Assumptions!I$209-1),0))</f>
        <v>15825.34</v>
      </c>
      <c r="J21" s="67" t="n">
        <f aca="false">IF(J$5="A",Inputs_Actuals!J260,IF(MOD(Assumptions!J$204,3)=2,SUMIFS(Rebates!$E$17:$AB$17,Assumptions!$E$209:$AB$209,Assumptions!J$209-1)+SUMIFS(Rebates!$E$20:$AB$20,Assumptions!$E$209:$AB$209,Assumptions!J$209-1),0))</f>
        <v>0</v>
      </c>
      <c r="K21" s="67" t="n">
        <f aca="false">IF(K$5="A",Inputs_Actuals!K260,IF(MOD(Assumptions!K$204,3)=2,SUMIFS(Rebates!$E$17:$AB$17,Assumptions!$E$209:$AB$209,Assumptions!K$209-1)+SUMIFS(Rebates!$E$20:$AB$20,Assumptions!$E$209:$AB$209,Assumptions!K$209-1),0))</f>
        <v>0</v>
      </c>
      <c r="L21" s="67" t="n">
        <f aca="false">IF(L$5="A",Inputs_Actuals!L260,IF(MOD(Assumptions!L$204,3)=2,SUMIFS(Rebates!$E$17:$AB$17,Assumptions!$E$209:$AB$209,Assumptions!L$209-1)+SUMIFS(Rebates!$E$20:$AB$20,Assumptions!$E$209:$AB$209,Assumptions!L$209-1),0))</f>
        <v>10711.89</v>
      </c>
      <c r="M21" s="67" t="n">
        <f aca="false">IF(M$5="A",Inputs_Actuals!M260,IF(MOD(Assumptions!M$204,3)=2,SUMIFS(Rebates!$E$17:$AB$17,Assumptions!$E$209:$AB$209,Assumptions!M$209-1)+SUMIFS(Rebates!$E$20:$AB$20,Assumptions!$E$209:$AB$209,Assumptions!M$209-1),0))</f>
        <v>0</v>
      </c>
      <c r="N21" s="67" t="n">
        <f aca="false">IF(N$5="A",Inputs_Actuals!N260,IF(MOD(Assumptions!N$204,3)=2,SUMIFS(Rebates!$E$17:$AB$17,Assumptions!$E$209:$AB$209,Assumptions!N$209-1)+SUMIFS(Rebates!$E$20:$AB$20,Assumptions!$E$209:$AB$209,Assumptions!N$209-1),0))</f>
        <v>0</v>
      </c>
      <c r="O21" s="67" t="n">
        <f aca="false">IF(O$5="A",Inputs_Actuals!O260,IF(MOD(Assumptions!O$204,3)=2,SUMIFS(Rebates!$E$17:$AB$17,Assumptions!$E$209:$AB$209,Assumptions!O$209-1)+SUMIFS(Rebates!$E$20:$AB$20,Assumptions!$E$209:$AB$209,Assumptions!O$209-1),0))</f>
        <v>10245.94761685</v>
      </c>
      <c r="P21" s="67" t="n">
        <f aca="false">IF(P$5="A",Inputs_Actuals!P260,IF(MOD(Assumptions!P$204,3)=2,SUMIFS(Rebates!$E$17:$AB$17,Assumptions!$E$209:$AB$209,Assumptions!P$209-1)+SUMIFS(Rebates!$E$20:$AB$20,Assumptions!$E$209:$AB$209,Assumptions!P$209-1),0))</f>
        <v>0</v>
      </c>
      <c r="Q21" s="67" t="n">
        <f aca="false">IF(Q$5="A",Inputs_Actuals!Q260,IF(MOD(Assumptions!Q$204,3)=2,SUMIFS(Rebates!$E$17:$AB$17,Assumptions!$E$209:$AB$209,Assumptions!Q$209-1)+SUMIFS(Rebates!$E$20:$AB$20,Assumptions!$E$209:$AB$209,Assumptions!Q$209-1),0))</f>
        <v>0</v>
      </c>
      <c r="R21" s="67" t="n">
        <f aca="false">IF(R$5="A",Inputs_Actuals!R260,IF(MOD(Assumptions!R$204,3)=2,SUMIFS(Rebates!$E$17:$AB$17,Assumptions!$E$209:$AB$209,Assumptions!R$209-1)+SUMIFS(Rebates!$E$20:$AB$20,Assumptions!$E$209:$AB$209,Assumptions!R$209-1),0))</f>
        <v>12264.2867733828</v>
      </c>
      <c r="S21" s="67" t="n">
        <f aca="false">IF(S$5="A",Inputs_Actuals!S260,IF(MOD(Assumptions!S$204,3)=2,SUMIFS(Rebates!$E$17:$AB$17,Assumptions!$E$209:$AB$209,Assumptions!S$209-1)+SUMIFS(Rebates!$E$20:$AB$20,Assumptions!$E$209:$AB$209,Assumptions!S$209-1),0))</f>
        <v>0</v>
      </c>
      <c r="T21" s="67" t="n">
        <f aca="false">IF(T$5="A",Inputs_Actuals!T260,IF(MOD(Assumptions!T$204,3)=2,SUMIFS(Rebates!$E$17:$AB$17,Assumptions!$E$209:$AB$209,Assumptions!T$209-1)+SUMIFS(Rebates!$E$20:$AB$20,Assumptions!$E$209:$AB$209,Assumptions!T$209-1),0))</f>
        <v>0</v>
      </c>
      <c r="U21" s="67" t="n">
        <f aca="false">IF(U$5="A",Inputs_Actuals!U260,IF(MOD(Assumptions!U$204,3)=2,SUMIFS(Rebates!$E$17:$AB$17,Assumptions!$E$209:$AB$209,Assumptions!U$209-1)+SUMIFS(Rebates!$E$20:$AB$20,Assumptions!$E$209:$AB$209,Assumptions!U$209-1),0))</f>
        <v>16617.4974546105</v>
      </c>
      <c r="V21" s="67" t="n">
        <f aca="false">IF(V$5="A",Inputs_Actuals!V260,IF(MOD(Assumptions!V$204,3)=2,SUMIFS(Rebates!$E$17:$AB$17,Assumptions!$E$209:$AB$209,Assumptions!V$209-1)+SUMIFS(Rebates!$E$20:$AB$20,Assumptions!$E$209:$AB$209,Assumptions!V$209-1),0))</f>
        <v>0</v>
      </c>
      <c r="W21" s="67" t="n">
        <f aca="false">IF(W$5="A",Inputs_Actuals!W260,IF(MOD(Assumptions!W$204,3)=2,SUMIFS(Rebates!$E$17:$AB$17,Assumptions!$E$209:$AB$209,Assumptions!W$209-1)+SUMIFS(Rebates!$E$20:$AB$20,Assumptions!$E$209:$AB$209,Assumptions!W$209-1),0))</f>
        <v>0</v>
      </c>
      <c r="X21" s="67" t="n">
        <f aca="false">IF(X$5="A",Inputs_Actuals!X260,IF(MOD(Assumptions!X$204,3)=2,SUMIFS(Rebates!$E$17:$AB$17,Assumptions!$E$209:$AB$209,Assumptions!X$209-1)+SUMIFS(Rebates!$E$20:$AB$20,Assumptions!$E$209:$AB$209,Assumptions!X$209-1),0))</f>
        <v>11330.0246523247</v>
      </c>
      <c r="Y21" s="67" t="n">
        <f aca="false">IF(Y$5="A",Inputs_Actuals!Y260,IF(MOD(Assumptions!Y$204,3)=2,SUMIFS(Rebates!$E$17:$AB$17,Assumptions!$E$209:$AB$209,Assumptions!Y$209-1)+SUMIFS(Rebates!$E$20:$AB$20,Assumptions!$E$209:$AB$209,Assumptions!Y$209-1),0))</f>
        <v>0</v>
      </c>
      <c r="Z21" s="67" t="n">
        <f aca="false">IF(Z$5="A",Inputs_Actuals!Z260,IF(MOD(Assumptions!Z$204,3)=2,SUMIFS(Rebates!$E$17:$AB$17,Assumptions!$E$209:$AB$209,Assumptions!Z$209-1)+SUMIFS(Rebates!$E$20:$AB$20,Assumptions!$E$209:$AB$209,Assumptions!Z$209-1),0))</f>
        <v>0</v>
      </c>
      <c r="AA21" s="67" t="n">
        <f aca="false">IF(AA$5="A",Inputs_Actuals!AA260,IF(MOD(Assumptions!AA$204,3)=2,SUMIFS(Rebates!$E$17:$AB$17,Assumptions!$E$209:$AB$209,Assumptions!AA$209-1)+SUMIFS(Rebates!$E$20:$AB$20,Assumptions!$E$209:$AB$209,Assumptions!AA$209-1),0))</f>
        <v>10891.4429939479</v>
      </c>
      <c r="AB21" s="67" t="n">
        <f aca="false">IF(AB$5="A",Inputs_Actuals!AB260,IF(MOD(Assumptions!AB$204,3)=2,SUMIFS(Rebates!$E$17:$AB$17,Assumptions!$E$209:$AB$209,Assumptions!AB$209-1)+SUMIFS(Rebates!$E$20:$AB$20,Assumptions!$E$209:$AB$209,Assumptions!AB$209-1),0))</f>
        <v>0</v>
      </c>
    </row>
    <row r="22" customFormat="false" ht="15" hidden="false" customHeight="false" outlineLevel="0" collapsed="false">
      <c r="A22" s="21" t="s">
        <v>1063</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row>
    <row r="23" customFormat="false" ht="15" hidden="false" customHeight="false" outlineLevel="0" collapsed="false">
      <c r="A23" s="27" t="s">
        <v>1064</v>
      </c>
      <c r="B23" s="63"/>
      <c r="C23" s="66" t="n">
        <f aca="false">SUM(E23:P23)</f>
        <v>81672.6338466844</v>
      </c>
      <c r="D23" s="66" t="n">
        <f aca="false">SUM(Q23:AB23)</f>
        <v>84165.5494630045</v>
      </c>
      <c r="E23" s="76" t="n">
        <f aca="false">E13+E17+E20</f>
        <v>10604.52</v>
      </c>
      <c r="F23" s="76" t="n">
        <f aca="false">F13+F17+F20</f>
        <v>6013.34</v>
      </c>
      <c r="G23" s="76" t="n">
        <f aca="false">G13+G17+G20</f>
        <v>7066</v>
      </c>
      <c r="H23" s="76" t="n">
        <f aca="false">H13+H17+H20</f>
        <v>6121.83</v>
      </c>
      <c r="I23" s="76" t="n">
        <f aca="false">I13+I17+I20</f>
        <v>6106.22</v>
      </c>
      <c r="J23" s="76" t="n">
        <f aca="false">J13+J17+J20</f>
        <v>7026.77</v>
      </c>
      <c r="K23" s="76" t="n">
        <f aca="false">K13+K17+K20</f>
        <v>5784.5</v>
      </c>
      <c r="L23" s="76" t="n">
        <f aca="false">L13+L17+L20</f>
        <v>4111.41</v>
      </c>
      <c r="M23" s="76" t="n">
        <f aca="false">M13+M17+M20</f>
        <v>7808.08902685</v>
      </c>
      <c r="N23" s="76" t="n">
        <f aca="false">N13+N17+N20</f>
        <v>7380.60874183086</v>
      </c>
      <c r="O23" s="76" t="n">
        <f aca="false">O13+O17+O20</f>
        <v>6687.64992764525</v>
      </c>
      <c r="P23" s="76" t="n">
        <f aca="false">P13+P17+P20</f>
        <v>6961.69615035827</v>
      </c>
      <c r="Q23" s="76" t="n">
        <f aca="false">Q13+Q17+Q20</f>
        <v>11227.5037715638</v>
      </c>
      <c r="R23" s="76" t="n">
        <f aca="false">R13+R17+R20</f>
        <v>6287.47072709768</v>
      </c>
      <c r="S23" s="76" t="n">
        <f aca="false">S13+S17+S20</f>
        <v>6942.35428498124</v>
      </c>
      <c r="T23" s="76" t="n">
        <f aca="false">T13+T17+T20</f>
        <v>6236.46315554119</v>
      </c>
      <c r="U23" s="76" t="n">
        <f aca="false">U13+U17+U20</f>
        <v>6401.19838922856</v>
      </c>
      <c r="V23" s="76" t="n">
        <f aca="false">V13+V17+V20</f>
        <v>7176.60581207105</v>
      </c>
      <c r="W23" s="76" t="n">
        <f aca="false">W13+W17+W20</f>
        <v>5863.59503706707</v>
      </c>
      <c r="X23" s="76" t="n">
        <f aca="false">X13+X17+X20</f>
        <v>4335.19316571237</v>
      </c>
      <c r="Y23" s="76" t="n">
        <f aca="false">Y13+Y17+Y20</f>
        <v>8114.56071116846</v>
      </c>
      <c r="Z23" s="76" t="n">
        <f aca="false">Z13+Z17+Z20</f>
        <v>7636.89259240118</v>
      </c>
      <c r="AA23" s="76" t="n">
        <f aca="false">AA13+AA17+AA20</f>
        <v>6825.97835327324</v>
      </c>
      <c r="AB23" s="76" t="n">
        <f aca="false">AB13+AB17+AB20</f>
        <v>7117.73346289868</v>
      </c>
    </row>
    <row r="24" customFormat="false" ht="15" hidden="false" customHeight="false" outlineLevel="0" collapsed="false">
      <c r="A24" s="27" t="s">
        <v>540</v>
      </c>
      <c r="B24" s="63"/>
      <c r="C24" s="66" t="n">
        <f aca="false">SUM(E24:P24)</f>
        <v>92785.97902685</v>
      </c>
      <c r="D24" s="66" t="n">
        <f aca="false">SUM(Q24:AB24)</f>
        <v>83614.8998742658</v>
      </c>
      <c r="E24" s="76" t="n">
        <f aca="false">E15+E21</f>
        <v>0</v>
      </c>
      <c r="F24" s="76" t="n">
        <f aca="false">F15+F21</f>
        <v>32143.3</v>
      </c>
      <c r="G24" s="76" t="n">
        <f aca="false">G15+G21</f>
        <v>0</v>
      </c>
      <c r="H24" s="76" t="n">
        <f aca="false">H15+H21</f>
        <v>0</v>
      </c>
      <c r="I24" s="76" t="n">
        <f aca="false">I15+I21</f>
        <v>23683.86</v>
      </c>
      <c r="J24" s="76" t="n">
        <f aca="false">J15+J21</f>
        <v>0</v>
      </c>
      <c r="K24" s="76" t="n">
        <f aca="false">K15+K21</f>
        <v>0</v>
      </c>
      <c r="L24" s="76" t="n">
        <f aca="false">L15+L21</f>
        <v>19254.82</v>
      </c>
      <c r="M24" s="76" t="n">
        <f aca="false">M15+M21</f>
        <v>0</v>
      </c>
      <c r="N24" s="76" t="n">
        <f aca="false">N15+N21</f>
        <v>0</v>
      </c>
      <c r="O24" s="76" t="n">
        <f aca="false">O15+O21</f>
        <v>17703.99902685</v>
      </c>
      <c r="P24" s="76" t="n">
        <f aca="false">P15+P21</f>
        <v>0</v>
      </c>
      <c r="Q24" s="76" t="n">
        <f aca="false">Q15+Q21</f>
        <v>0</v>
      </c>
      <c r="R24" s="76" t="n">
        <f aca="false">R15+R21</f>
        <v>21029.9548198344</v>
      </c>
      <c r="S24" s="76" t="n">
        <f aca="false">S15+S21</f>
        <v>0</v>
      </c>
      <c r="T24" s="76" t="n">
        <f aca="false">T15+T21</f>
        <v>0</v>
      </c>
      <c r="U24" s="76" t="n">
        <f aca="false">U15+U21</f>
        <v>24457.3287836427</v>
      </c>
      <c r="V24" s="76" t="n">
        <f aca="false">V15+V21</f>
        <v>0</v>
      </c>
      <c r="W24" s="76" t="n">
        <f aca="false">W15+W21</f>
        <v>0</v>
      </c>
      <c r="X24" s="76" t="n">
        <f aca="false">X15+X21</f>
        <v>19814.2673568408</v>
      </c>
      <c r="Y24" s="76" t="n">
        <f aca="false">Y15+Y21</f>
        <v>0</v>
      </c>
      <c r="Z24" s="76" t="n">
        <f aca="false">Z15+Z21</f>
        <v>0</v>
      </c>
      <c r="AA24" s="76" t="n">
        <f aca="false">AA15+AA21</f>
        <v>18313.3489139479</v>
      </c>
      <c r="AB24" s="76" t="n">
        <f aca="false">AB15+AB21</f>
        <v>0</v>
      </c>
    </row>
    <row r="25" customFormat="false" ht="15" hidden="false" customHeight="false" outlineLevel="0" collapsed="false">
      <c r="A25" s="59" t="s">
        <v>1065</v>
      </c>
      <c r="B25" s="60" t="s">
        <v>1066</v>
      </c>
      <c r="C25" s="61" t="n">
        <f aca="false">P25</f>
        <v>21029.9548198344</v>
      </c>
      <c r="D25" s="61" t="n">
        <f aca="false">AB25</f>
        <v>21580.6044085731</v>
      </c>
      <c r="E25" s="62" t="n">
        <f aca="false">Inputs_Actuals!$C$283+E23-E24</f>
        <v>42747.82</v>
      </c>
      <c r="F25" s="61" t="n">
        <f aca="false">E25+F23-F24</f>
        <v>16617.86</v>
      </c>
      <c r="G25" s="61" t="n">
        <f aca="false">F25+G23-G24</f>
        <v>23683.86</v>
      </c>
      <c r="H25" s="61" t="n">
        <f aca="false">G25+H23-H24</f>
        <v>29805.69</v>
      </c>
      <c r="I25" s="61" t="n">
        <f aca="false">H25+I23-I24</f>
        <v>12228.05</v>
      </c>
      <c r="J25" s="61" t="n">
        <f aca="false">I25+J23-J24</f>
        <v>19254.82</v>
      </c>
      <c r="K25" s="61" t="n">
        <f aca="false">J25+K23-K24</f>
        <v>25039.32</v>
      </c>
      <c r="L25" s="61" t="n">
        <f aca="false">K25+L23-L24</f>
        <v>9895.91</v>
      </c>
      <c r="M25" s="61" t="n">
        <f aca="false">L25+M23-M24</f>
        <v>17703.99902685</v>
      </c>
      <c r="N25" s="61" t="n">
        <f aca="false">M25+N23-N24</f>
        <v>25084.6077686809</v>
      </c>
      <c r="O25" s="61" t="n">
        <f aca="false">N25+O23-O24</f>
        <v>14068.2586694761</v>
      </c>
      <c r="P25" s="61" t="n">
        <f aca="false">O25+P23-P24</f>
        <v>21029.9548198344</v>
      </c>
      <c r="Q25" s="61" t="n">
        <f aca="false">P25+Q23-Q24</f>
        <v>32257.4585913982</v>
      </c>
      <c r="R25" s="61" t="n">
        <f aca="false">Q25+R23-R24</f>
        <v>17514.9744986615</v>
      </c>
      <c r="S25" s="61" t="n">
        <f aca="false">R25+S23-S24</f>
        <v>24457.3287836427</v>
      </c>
      <c r="T25" s="61" t="n">
        <f aca="false">S25+T23-T24</f>
        <v>30693.7919391839</v>
      </c>
      <c r="U25" s="61" t="n">
        <f aca="false">T25+U23-U24</f>
        <v>12637.6615447697</v>
      </c>
      <c r="V25" s="61" t="n">
        <f aca="false">U25+V23-V24</f>
        <v>19814.2673568408</v>
      </c>
      <c r="W25" s="61" t="n">
        <f aca="false">V25+W23-W24</f>
        <v>25677.8623939079</v>
      </c>
      <c r="X25" s="61" t="n">
        <f aca="false">W25+X23-X24</f>
        <v>10198.7882027794</v>
      </c>
      <c r="Y25" s="61" t="n">
        <f aca="false">X25+Y23-Y24</f>
        <v>18313.3489139479</v>
      </c>
      <c r="Z25" s="61" t="n">
        <f aca="false">Y25+Z23-Z24</f>
        <v>25950.2415063491</v>
      </c>
      <c r="AA25" s="61" t="n">
        <f aca="false">Z25+AA23-AA24</f>
        <v>14462.8709456744</v>
      </c>
      <c r="AB25" s="61" t="n">
        <f aca="false">AA25+AB23-AB24</f>
        <v>21580.6044085731</v>
      </c>
    </row>
    <row r="26" customFormat="false" ht="15" hidden="false" customHeight="false" outlineLevel="0" collapsed="false">
      <c r="A26" s="27" t="s">
        <v>1067</v>
      </c>
      <c r="B26" s="63"/>
      <c r="C26" s="66" t="n">
        <f aca="false">SUM(E26:P26)</f>
        <v>0</v>
      </c>
      <c r="D26" s="66" t="n">
        <f aca="false">SUM(Q26:AB26)</f>
        <v>0</v>
      </c>
      <c r="E26" s="67" t="n">
        <f aca="false">ROUND(E25-(SUMIFS(Rebates!$E$23:$AB$23,Assumptions!$E$209:$AB$209,Assumptions!E$209,Assumptions!$E$201:$AB$201,"&lt;="&amp;Assumptions!E$201)+IF(MOD(Assumptions!E$204-1,3)=0,Inputs_Actuals!$C$283,0)),0)</f>
        <v>0</v>
      </c>
      <c r="F26" s="67" t="n">
        <f aca="false">ROUND(F25-(SUMIFS(Rebates!$E$23:$AB$23,Assumptions!$E$209:$AB$209,Assumptions!F$209,Assumptions!$E$201:$AB$201,"&lt;="&amp;Assumptions!F$201)+IF(MOD(Assumptions!F$204-1,3)=0,SUMIFS(Rebates!$E$23:$AB$23,Assumptions!$E$209:$AB$209,Assumptions!F$209-1),0)),0)</f>
        <v>0</v>
      </c>
      <c r="G26" s="67" t="n">
        <f aca="false">ROUND(G25-(SUMIFS(Rebates!$E$23:$AB$23,Assumptions!$E$209:$AB$209,Assumptions!G$209,Assumptions!$E$201:$AB$201,"&lt;="&amp;Assumptions!G$201)+IF(MOD(Assumptions!G$204-1,3)=0,SUMIFS(Rebates!$E$23:$AB$23,Assumptions!$E$209:$AB$209,Assumptions!G$209-1),0)),0)</f>
        <v>0</v>
      </c>
      <c r="H26" s="67" t="n">
        <f aca="false">ROUND(H25-(SUMIFS(Rebates!$E$23:$AB$23,Assumptions!$E$209:$AB$209,Assumptions!H$209,Assumptions!$E$201:$AB$201,"&lt;="&amp;Assumptions!H$201)+IF(MOD(Assumptions!H$204-1,3)=0,SUMIFS(Rebates!$E$23:$AB$23,Assumptions!$E$209:$AB$209,Assumptions!H$209-1),0)),0)</f>
        <v>0</v>
      </c>
      <c r="I26" s="67" t="n">
        <f aca="false">ROUND(I25-(SUMIFS(Rebates!$E$23:$AB$23,Assumptions!$E$209:$AB$209,Assumptions!I$209,Assumptions!$E$201:$AB$201,"&lt;="&amp;Assumptions!I$201)+IF(MOD(Assumptions!I$204-1,3)=0,SUMIFS(Rebates!$E$23:$AB$23,Assumptions!$E$209:$AB$209,Assumptions!I$209-1),0)),0)</f>
        <v>0</v>
      </c>
      <c r="J26" s="67" t="n">
        <f aca="false">ROUND(J25-(SUMIFS(Rebates!$E$23:$AB$23,Assumptions!$E$209:$AB$209,Assumptions!J$209,Assumptions!$E$201:$AB$201,"&lt;="&amp;Assumptions!J$201)+IF(MOD(Assumptions!J$204-1,3)=0,SUMIFS(Rebates!$E$23:$AB$23,Assumptions!$E$209:$AB$209,Assumptions!J$209-1),0)),0)</f>
        <v>0</v>
      </c>
      <c r="K26" s="67" t="n">
        <f aca="false">ROUND(K25-(SUMIFS(Rebates!$E$23:$AB$23,Assumptions!$E$209:$AB$209,Assumptions!K$209,Assumptions!$E$201:$AB$201,"&lt;="&amp;Assumptions!K$201)+IF(MOD(Assumptions!K$204-1,3)=0,SUMIFS(Rebates!$E$23:$AB$23,Assumptions!$E$209:$AB$209,Assumptions!K$209-1),0)),0)</f>
        <v>0</v>
      </c>
      <c r="L26" s="67" t="n">
        <f aca="false">ROUND(L25-(SUMIFS(Rebates!$E$23:$AB$23,Assumptions!$E$209:$AB$209,Assumptions!L$209,Assumptions!$E$201:$AB$201,"&lt;="&amp;Assumptions!L$201)+IF(MOD(Assumptions!L$204-1,3)=0,SUMIFS(Rebates!$E$23:$AB$23,Assumptions!$E$209:$AB$209,Assumptions!L$209-1),0)),0)</f>
        <v>0</v>
      </c>
      <c r="M26" s="67" t="n">
        <f aca="false">ROUND(M25-(SUMIFS(Rebates!$E$23:$AB$23,Assumptions!$E$209:$AB$209,Assumptions!M$209,Assumptions!$E$201:$AB$201,"&lt;="&amp;Assumptions!M$201)+IF(MOD(Assumptions!M$204-1,3)=0,SUMIFS(Rebates!$E$23:$AB$23,Assumptions!$E$209:$AB$209,Assumptions!M$209-1),0)),0)</f>
        <v>0</v>
      </c>
      <c r="N26" s="67" t="n">
        <f aca="false">ROUND(N25-(SUMIFS(Rebates!$E$23:$AB$23,Assumptions!$E$209:$AB$209,Assumptions!N$209,Assumptions!$E$201:$AB$201,"&lt;="&amp;Assumptions!N$201)+IF(MOD(Assumptions!N$204-1,3)=0,SUMIFS(Rebates!$E$23:$AB$23,Assumptions!$E$209:$AB$209,Assumptions!N$209-1),0)),0)</f>
        <v>0</v>
      </c>
      <c r="O26" s="67" t="n">
        <f aca="false">ROUND(O25-(SUMIFS(Rebates!$E$23:$AB$23,Assumptions!$E$209:$AB$209,Assumptions!O$209,Assumptions!$E$201:$AB$201,"&lt;="&amp;Assumptions!O$201)+IF(MOD(Assumptions!O$204-1,3)=0,SUMIFS(Rebates!$E$23:$AB$23,Assumptions!$E$209:$AB$209,Assumptions!O$209-1),0)),0)</f>
        <v>0</v>
      </c>
      <c r="P26" s="67" t="n">
        <f aca="false">ROUND(P25-(SUMIFS(Rebates!$E$23:$AB$23,Assumptions!$E$209:$AB$209,Assumptions!P$209,Assumptions!$E$201:$AB$201,"&lt;="&amp;Assumptions!P$201)+IF(MOD(Assumptions!P$204-1,3)=0,SUMIFS(Rebates!$E$23:$AB$23,Assumptions!$E$209:$AB$209,Assumptions!P$209-1),0)),0)</f>
        <v>0</v>
      </c>
      <c r="Q26" s="67" t="n">
        <f aca="false">ROUND(Q25-(SUMIFS(Rebates!$E$23:$AB$23,Assumptions!$E$209:$AB$209,Assumptions!Q$209,Assumptions!$E$201:$AB$201,"&lt;="&amp;Assumptions!Q$201)+IF(MOD(Assumptions!Q$204-1,3)=0,SUMIFS(Rebates!$E$23:$AB$23,Assumptions!$E$209:$AB$209,Assumptions!Q$209-1),0)),0)</f>
        <v>0</v>
      </c>
      <c r="R26" s="67" t="n">
        <f aca="false">ROUND(R25-(SUMIFS(Rebates!$E$23:$AB$23,Assumptions!$E$209:$AB$209,Assumptions!R$209,Assumptions!$E$201:$AB$201,"&lt;="&amp;Assumptions!R$201)+IF(MOD(Assumptions!R$204-1,3)=0,SUMIFS(Rebates!$E$23:$AB$23,Assumptions!$E$209:$AB$209,Assumptions!R$209-1),0)),0)</f>
        <v>0</v>
      </c>
      <c r="S26" s="67" t="n">
        <f aca="false">ROUND(S25-(SUMIFS(Rebates!$E$23:$AB$23,Assumptions!$E$209:$AB$209,Assumptions!S$209,Assumptions!$E$201:$AB$201,"&lt;="&amp;Assumptions!S$201)+IF(MOD(Assumptions!S$204-1,3)=0,SUMIFS(Rebates!$E$23:$AB$23,Assumptions!$E$209:$AB$209,Assumptions!S$209-1),0)),0)</f>
        <v>0</v>
      </c>
      <c r="T26" s="67" t="n">
        <f aca="false">ROUND(T25-(SUMIFS(Rebates!$E$23:$AB$23,Assumptions!$E$209:$AB$209,Assumptions!T$209,Assumptions!$E$201:$AB$201,"&lt;="&amp;Assumptions!T$201)+IF(MOD(Assumptions!T$204-1,3)=0,SUMIFS(Rebates!$E$23:$AB$23,Assumptions!$E$209:$AB$209,Assumptions!T$209-1),0)),0)</f>
        <v>0</v>
      </c>
      <c r="U26" s="67" t="n">
        <f aca="false">ROUND(U25-(SUMIFS(Rebates!$E$23:$AB$23,Assumptions!$E$209:$AB$209,Assumptions!U$209,Assumptions!$E$201:$AB$201,"&lt;="&amp;Assumptions!U$201)+IF(MOD(Assumptions!U$204-1,3)=0,SUMIFS(Rebates!$E$23:$AB$23,Assumptions!$E$209:$AB$209,Assumptions!U$209-1),0)),0)</f>
        <v>0</v>
      </c>
      <c r="V26" s="67" t="n">
        <f aca="false">ROUND(V25-(SUMIFS(Rebates!$E$23:$AB$23,Assumptions!$E$209:$AB$209,Assumptions!V$209,Assumptions!$E$201:$AB$201,"&lt;="&amp;Assumptions!V$201)+IF(MOD(Assumptions!V$204-1,3)=0,SUMIFS(Rebates!$E$23:$AB$23,Assumptions!$E$209:$AB$209,Assumptions!V$209-1),0)),0)</f>
        <v>0</v>
      </c>
      <c r="W26" s="67" t="n">
        <f aca="false">ROUND(W25-(SUMIFS(Rebates!$E$23:$AB$23,Assumptions!$E$209:$AB$209,Assumptions!W$209,Assumptions!$E$201:$AB$201,"&lt;="&amp;Assumptions!W$201)+IF(MOD(Assumptions!W$204-1,3)=0,SUMIFS(Rebates!$E$23:$AB$23,Assumptions!$E$209:$AB$209,Assumptions!W$209-1),0)),0)</f>
        <v>0</v>
      </c>
      <c r="X26" s="67" t="n">
        <f aca="false">ROUND(X25-(SUMIFS(Rebates!$E$23:$AB$23,Assumptions!$E$209:$AB$209,Assumptions!X$209,Assumptions!$E$201:$AB$201,"&lt;="&amp;Assumptions!X$201)+IF(MOD(Assumptions!X$204-1,3)=0,SUMIFS(Rebates!$E$23:$AB$23,Assumptions!$E$209:$AB$209,Assumptions!X$209-1),0)),0)</f>
        <v>0</v>
      </c>
      <c r="Y26" s="67" t="n">
        <f aca="false">ROUND(Y25-(SUMIFS(Rebates!$E$23:$AB$23,Assumptions!$E$209:$AB$209,Assumptions!Y$209,Assumptions!$E$201:$AB$201,"&lt;="&amp;Assumptions!Y$201)+IF(MOD(Assumptions!Y$204-1,3)=0,SUMIFS(Rebates!$E$23:$AB$23,Assumptions!$E$209:$AB$209,Assumptions!Y$209-1),0)),0)</f>
        <v>0</v>
      </c>
      <c r="Z26" s="67" t="n">
        <f aca="false">ROUND(Z25-(SUMIFS(Rebates!$E$23:$AB$23,Assumptions!$E$209:$AB$209,Assumptions!Z$209,Assumptions!$E$201:$AB$201,"&lt;="&amp;Assumptions!Z$201)+IF(MOD(Assumptions!Z$204-1,3)=0,SUMIFS(Rebates!$E$23:$AB$23,Assumptions!$E$209:$AB$209,Assumptions!Z$209-1),0)),0)</f>
        <v>0</v>
      </c>
      <c r="AA26" s="67" t="n">
        <f aca="false">ROUND(AA25-(SUMIFS(Rebates!$E$23:$AB$23,Assumptions!$E$209:$AB$209,Assumptions!AA$209,Assumptions!$E$201:$AB$201,"&lt;="&amp;Assumptions!AA$201)+IF(MOD(Assumptions!AA$204-1,3)=0,SUMIFS(Rebates!$E$23:$AB$23,Assumptions!$E$209:$AB$209,Assumptions!AA$209-1),0)),0)</f>
        <v>0</v>
      </c>
      <c r="AB26" s="67" t="n">
        <f aca="false">ROUND(AB25-(SUMIFS(Rebates!$E$23:$AB$23,Assumptions!$E$209:$AB$209,Assumptions!AB$209,Assumptions!$E$201:$AB$201,"&lt;="&amp;Assumptions!AB$201)+IF(MOD(Assumptions!AB$204-1,3)=0,SUMIFS(Rebates!$E$23:$AB$23,Assumptions!$E$209:$AB$209,Assumptions!AB$209-1),0)),0)</f>
        <v>0</v>
      </c>
    </row>
    <row r="27" customFormat="false" ht="15" hidden="false" customHeight="false" outlineLevel="0" collapsed="false">
      <c r="A27" s="27" t="s">
        <v>1068</v>
      </c>
      <c r="B27" s="63"/>
      <c r="C27" s="72" t="n">
        <f aca="false">IF(C9=0,0,C13/C9)</f>
        <v>0.0150000071034147</v>
      </c>
      <c r="D27" s="72" t="n">
        <f aca="false">IF(D9=0,0,D13/D9)</f>
        <v>0.015</v>
      </c>
      <c r="E27" s="85" t="n">
        <f aca="false">IF(E9=0,0,E13/E9)</f>
        <v>0.0150000071922473</v>
      </c>
      <c r="F27" s="85" t="n">
        <f aca="false">IF(F9=0,0,F13/F9)</f>
        <v>0.0150000270191</v>
      </c>
      <c r="G27" s="85" t="n">
        <f aca="false">IF(G9=0,0,G13/G9)</f>
        <v>0.0150000208618762</v>
      </c>
      <c r="H27" s="85" t="n">
        <f aca="false">IF(H9=0,0,H13/H9)</f>
        <v>0.0149999964753991</v>
      </c>
      <c r="I27" s="85" t="n">
        <f aca="false">IF(I9=0,0,I13/I9)</f>
        <v>0.0150000262019526</v>
      </c>
      <c r="J27" s="85" t="n">
        <f aca="false">IF(J9=0,0,J13/J9)</f>
        <v>0.015000005860381</v>
      </c>
      <c r="K27" s="85" t="n">
        <f aca="false">IF(K9=0,0,K13/K9)</f>
        <v>0.0149999974210081</v>
      </c>
      <c r="L27" s="85" t="n">
        <f aca="false">IF(L9=0,0,L13/L9)</f>
        <v>0.0149999728212125</v>
      </c>
      <c r="M27" s="85" t="n">
        <f aca="false">IF(M9=0,0,M13/M9)</f>
        <v>0.0150000099556366</v>
      </c>
      <c r="N27" s="85" t="n">
        <f aca="false">IF(N9=0,0,N13/N9)</f>
        <v>0.015</v>
      </c>
      <c r="O27" s="85" t="n">
        <f aca="false">IF(O9=0,0,O13/O9)</f>
        <v>0.015</v>
      </c>
      <c r="P27" s="85" t="n">
        <f aca="false">IF(P9=0,0,P13/P9)</f>
        <v>0.015</v>
      </c>
      <c r="Q27" s="85" t="n">
        <f aca="false">IF(Q9=0,0,Q13/Q9)</f>
        <v>0.015</v>
      </c>
      <c r="R27" s="85" t="n">
        <f aca="false">IF(R9=0,0,R13/R9)</f>
        <v>0.015</v>
      </c>
      <c r="S27" s="85" t="n">
        <f aca="false">IF(S9=0,0,S13/S9)</f>
        <v>0.015</v>
      </c>
      <c r="T27" s="85" t="n">
        <f aca="false">IF(T9=0,0,T13/T9)</f>
        <v>0.015</v>
      </c>
      <c r="U27" s="85" t="n">
        <f aca="false">IF(U9=0,0,U13/U9)</f>
        <v>0.015</v>
      </c>
      <c r="V27" s="85" t="n">
        <f aca="false">IF(V9=0,0,V13/V9)</f>
        <v>0.015</v>
      </c>
      <c r="W27" s="85" t="n">
        <f aca="false">IF(W9=0,0,W13/W9)</f>
        <v>0.015</v>
      </c>
      <c r="X27" s="85" t="n">
        <f aca="false">IF(X9=0,0,X13/X9)</f>
        <v>0.015</v>
      </c>
      <c r="Y27" s="85" t="n">
        <f aca="false">IF(Y9=0,0,Y13/Y9)</f>
        <v>0.015</v>
      </c>
      <c r="Z27" s="85" t="n">
        <f aca="false">IF(Z9=0,0,Z13/Z9)</f>
        <v>0.015</v>
      </c>
      <c r="AA27" s="85" t="n">
        <f aca="false">IF(AA9=0,0,AA13/AA9)</f>
        <v>0.015</v>
      </c>
      <c r="AB27" s="85" t="n">
        <f aca="false">IF(AB9=0,0,AB13/AB9)</f>
        <v>0.015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1069</v>
      </c>
    </row>
    <row r="3" customFormat="false" ht="15" hidden="false" customHeight="false" outlineLevel="0" collapsed="false">
      <c r="A3" s="50" t="s">
        <v>1070</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1071</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1072</v>
      </c>
      <c r="B9" s="63" t="s">
        <v>44</v>
      </c>
      <c r="C9" s="66" t="n">
        <f aca="false">SUM(E9:P9)</f>
        <v>3586930.42001095</v>
      </c>
      <c r="D9" s="66" t="n">
        <f aca="false">SUM(Q9:AB9)</f>
        <v>4118151.83545219</v>
      </c>
      <c r="E9" s="67" t="n">
        <f aca="false">Revenue!E19</f>
        <v>288374.83</v>
      </c>
      <c r="F9" s="67" t="n">
        <f aca="false">Revenue!F19</f>
        <v>289887.79</v>
      </c>
      <c r="G9" s="67" t="n">
        <f aca="false">Revenue!G19</f>
        <v>294708.93</v>
      </c>
      <c r="H9" s="67" t="n">
        <f aca="false">Revenue!H19</f>
        <v>294421.49</v>
      </c>
      <c r="I9" s="67" t="n">
        <f aca="false">Revenue!I19</f>
        <v>289342.7</v>
      </c>
      <c r="J9" s="67" t="n">
        <f aca="false">Revenue!J19</f>
        <v>291699.94</v>
      </c>
      <c r="K9" s="67" t="n">
        <f aca="false">Revenue!K19</f>
        <v>293395.62</v>
      </c>
      <c r="L9" s="67" t="n">
        <f aca="false">Revenue!L19</f>
        <v>297373.49</v>
      </c>
      <c r="M9" s="67" t="n">
        <f aca="false">Revenue!M19</f>
        <v>298832.270614231</v>
      </c>
      <c r="N9" s="67" t="n">
        <f aca="false">Revenue!N19</f>
        <v>306059.880923472</v>
      </c>
      <c r="O9" s="67" t="n">
        <f aca="false">Revenue!O19</f>
        <v>317110.556498918</v>
      </c>
      <c r="P9" s="67" t="n">
        <f aca="false">Revenue!P19</f>
        <v>325722.92197433</v>
      </c>
      <c r="Q9" s="67" t="n">
        <f aca="false">Revenue!Q19</f>
        <v>332958.009871133</v>
      </c>
      <c r="R9" s="67" t="n">
        <f aca="false">Revenue!R19</f>
        <v>338105.18183143</v>
      </c>
      <c r="S9" s="67" t="n">
        <f aca="false">Revenue!S19</f>
        <v>338550.017630416</v>
      </c>
      <c r="T9" s="67" t="n">
        <f aca="false">Revenue!T19</f>
        <v>342524.319811631</v>
      </c>
      <c r="U9" s="67" t="n">
        <f aca="false">Revenue!U19</f>
        <v>343265.936377345</v>
      </c>
      <c r="V9" s="67" t="n">
        <f aca="false">Revenue!V19</f>
        <v>344080.258999911</v>
      </c>
      <c r="W9" s="67" t="n">
        <f aca="false">Revenue!W19</f>
        <v>345149.277210377</v>
      </c>
      <c r="X9" s="67" t="n">
        <f aca="false">Revenue!X19</f>
        <v>343608.200382447</v>
      </c>
      <c r="Y9" s="67" t="n">
        <f aca="false">Revenue!Y19</f>
        <v>345818.705458039</v>
      </c>
      <c r="Z9" s="67" t="n">
        <f aca="false">Revenue!Z19</f>
        <v>347036.129478524</v>
      </c>
      <c r="AA9" s="67" t="n">
        <f aca="false">Revenue!AA19</f>
        <v>348083.503714318</v>
      </c>
      <c r="AB9" s="67" t="n">
        <f aca="false">Revenue!AB19</f>
        <v>348972.294686619</v>
      </c>
    </row>
    <row r="10" customFormat="false" ht="15" hidden="false" customHeight="false" outlineLevel="0" collapsed="false">
      <c r="A10" s="27" t="s">
        <v>417</v>
      </c>
      <c r="B10" s="63" t="s">
        <v>61</v>
      </c>
      <c r="C10" s="66" t="n">
        <f aca="false">SUM(E10:P10)</f>
        <v>-1239115.29347238</v>
      </c>
      <c r="D10" s="66" t="n">
        <f aca="false">SUM(Q10:AB10)</f>
        <v>-1463888.92170498</v>
      </c>
      <c r="E10" s="67" t="n">
        <f aca="false">-People!E102</f>
        <v>-110061.07375</v>
      </c>
      <c r="F10" s="67" t="n">
        <f aca="false">-People!F102</f>
        <v>-109146.08</v>
      </c>
      <c r="G10" s="67" t="n">
        <f aca="false">-People!G102</f>
        <v>-106970.92</v>
      </c>
      <c r="H10" s="67" t="n">
        <f aca="false">-People!H102</f>
        <v>-100776</v>
      </c>
      <c r="I10" s="67" t="n">
        <f aca="false">-People!I102</f>
        <v>-100722.31125</v>
      </c>
      <c r="J10" s="67" t="n">
        <f aca="false">-People!J102</f>
        <v>-96649.6</v>
      </c>
      <c r="K10" s="67" t="n">
        <f aca="false">-People!K102</f>
        <v>-94329.375</v>
      </c>
      <c r="L10" s="67" t="n">
        <f aca="false">-People!L102</f>
        <v>-87485.175</v>
      </c>
      <c r="M10" s="67" t="n">
        <f aca="false">-People!M102</f>
        <v>-98302.128875</v>
      </c>
      <c r="N10" s="67" t="n">
        <f aca="false">-People!N102</f>
        <v>-107085.058294167</v>
      </c>
      <c r="O10" s="67" t="n">
        <f aca="false">-People!O102</f>
        <v>-113742.899907401</v>
      </c>
      <c r="P10" s="67" t="n">
        <f aca="false">-People!P102</f>
        <v>-113844.671395815</v>
      </c>
      <c r="Q10" s="67" t="n">
        <f aca="false">-People!Q102</f>
        <v>-121726.036101709</v>
      </c>
      <c r="R10" s="67" t="n">
        <f aca="false">-People!R102</f>
        <v>-120658.490504792</v>
      </c>
      <c r="S10" s="67" t="n">
        <f aca="false">-People!S102</f>
        <v>-122681.738231846</v>
      </c>
      <c r="T10" s="67" t="n">
        <f aca="false">-People!T102</f>
        <v>-120706.260667623</v>
      </c>
      <c r="U10" s="67" t="n">
        <f aca="false">-People!U102</f>
        <v>-123797.372985849</v>
      </c>
      <c r="V10" s="67" t="n">
        <f aca="false">-People!V102</f>
        <v>-123314.620577285</v>
      </c>
      <c r="W10" s="67" t="n">
        <f aca="false">-People!W102</f>
        <v>-117938.986890318</v>
      </c>
      <c r="X10" s="67" t="n">
        <f aca="false">-People!X102</f>
        <v>-109359.480827088</v>
      </c>
      <c r="Y10" s="67" t="n">
        <f aca="false">-People!Y102</f>
        <v>-124323.050544736</v>
      </c>
      <c r="Z10" s="67" t="n">
        <f aca="false">-People!Z102</f>
        <v>-127529.755482342</v>
      </c>
      <c r="AA10" s="67" t="n">
        <f aca="false">-People!AA102</f>
        <v>-128598.526842016</v>
      </c>
      <c r="AB10" s="67" t="n">
        <f aca="false">-People!AB102</f>
        <v>-123254.602049381</v>
      </c>
    </row>
    <row r="11" customFormat="false" ht="15" hidden="false" customHeight="false" outlineLevel="0" collapsed="false">
      <c r="A11" s="27" t="s">
        <v>1073</v>
      </c>
      <c r="B11" s="63" t="s">
        <v>75</v>
      </c>
      <c r="C11" s="66" t="n">
        <f aca="false">SUM(E11:P11)</f>
        <v>-242255.627343739</v>
      </c>
      <c r="D11" s="66" t="n">
        <f aca="false">SUM(Q11:AB11)</f>
        <v>-264679.252671854</v>
      </c>
      <c r="E11" s="67" t="n">
        <f aca="false">-Overheads!E23</f>
        <v>-19340.7451717655</v>
      </c>
      <c r="F11" s="67" t="n">
        <f aca="false">-Overheads!F23</f>
        <v>-19237.6251060221</v>
      </c>
      <c r="G11" s="67" t="n">
        <f aca="false">-Overheads!G23</f>
        <v>-19903.7891836032</v>
      </c>
      <c r="H11" s="67" t="n">
        <f aca="false">-Overheads!H23</f>
        <v>-20060.822867042</v>
      </c>
      <c r="I11" s="67" t="n">
        <f aca="false">-Overheads!I23</f>
        <v>-19856.110724234</v>
      </c>
      <c r="J11" s="67" t="n">
        <f aca="false">-Overheads!J23</f>
        <v>-19742.2967251361</v>
      </c>
      <c r="K11" s="67" t="n">
        <f aca="false">-Overheads!K23</f>
        <v>-20113.804076718</v>
      </c>
      <c r="L11" s="67" t="n">
        <f aca="false">-Overheads!L23</f>
        <v>-20113.033033033</v>
      </c>
      <c r="M11" s="67" t="n">
        <f aca="false">-Overheads!M23</f>
        <v>-20483.1278548373</v>
      </c>
      <c r="N11" s="67" t="n">
        <f aca="false">-Overheads!N23</f>
        <v>-20412.6608829381</v>
      </c>
      <c r="O11" s="67" t="n">
        <f aca="false">-Overheads!O23</f>
        <v>-21502.7644988254</v>
      </c>
      <c r="P11" s="67" t="n">
        <f aca="false">-Overheads!P23</f>
        <v>-21488.8472195842</v>
      </c>
      <c r="Q11" s="67" t="n">
        <f aca="false">-Overheads!Q23</f>
        <v>-21742.3686474888</v>
      </c>
      <c r="R11" s="67" t="n">
        <f aca="false">-Overheads!R23</f>
        <v>-22031.384601173</v>
      </c>
      <c r="S11" s="67" t="n">
        <f aca="false">-Overheads!S23</f>
        <v>-21899.6162492307</v>
      </c>
      <c r="T11" s="67" t="n">
        <f aca="false">-Overheads!T23</f>
        <v>-22065.9334007674</v>
      </c>
      <c r="U11" s="67" t="n">
        <f aca="false">-Overheads!U23</f>
        <v>-22084.2681644399</v>
      </c>
      <c r="V11" s="67" t="n">
        <f aca="false">-Overheads!V23</f>
        <v>-22121.9402781964</v>
      </c>
      <c r="W11" s="67" t="n">
        <f aca="false">-Overheads!W23</f>
        <v>-22142.4358976941</v>
      </c>
      <c r="X11" s="67" t="n">
        <f aca="false">-Overheads!X23</f>
        <v>-22061.6372395006</v>
      </c>
      <c r="Y11" s="67" t="n">
        <f aca="false">-Overheads!Y23</f>
        <v>-22099.3074022724</v>
      </c>
      <c r="Z11" s="67" t="n">
        <f aca="false">-Overheads!Z23</f>
        <v>-22125.0353101878</v>
      </c>
      <c r="AA11" s="67" t="n">
        <f aca="false">-Overheads!AA23</f>
        <v>-22133.7313142819</v>
      </c>
      <c r="AB11" s="67" t="n">
        <f aca="false">-Overheads!AB23</f>
        <v>-22171.5941666205</v>
      </c>
    </row>
    <row r="12" customFormat="false" ht="15" hidden="false" customHeight="false" outlineLevel="0" collapsed="false">
      <c r="A12" s="27" t="s">
        <v>413</v>
      </c>
      <c r="B12" s="63" t="s">
        <v>75</v>
      </c>
      <c r="C12" s="66" t="n">
        <f aca="false">SUM(E12:P12)</f>
        <v>-106759.785805927</v>
      </c>
      <c r="D12" s="66" t="n">
        <f aca="false">SUM(Q12:AB12)</f>
        <v>-110727.186849457</v>
      </c>
      <c r="E12" s="67" t="n">
        <f aca="false">-Overheads!E24</f>
        <v>-8856.6</v>
      </c>
      <c r="F12" s="67" t="n">
        <f aca="false">-Overheads!F24</f>
        <v>-8856.6</v>
      </c>
      <c r="G12" s="67" t="n">
        <f aca="false">-Overheads!G24</f>
        <v>-8883.6</v>
      </c>
      <c r="H12" s="67" t="n">
        <f aca="false">-Overheads!H24</f>
        <v>-8885.4</v>
      </c>
      <c r="I12" s="67" t="n">
        <f aca="false">-Overheads!I24</f>
        <v>-8870.1</v>
      </c>
      <c r="J12" s="67" t="n">
        <f aca="false">-Overheads!J24</f>
        <v>-8871</v>
      </c>
      <c r="K12" s="67" t="n">
        <f aca="false">-Overheads!K24</f>
        <v>-8900.7</v>
      </c>
      <c r="L12" s="67" t="n">
        <f aca="false">-Overheads!L24</f>
        <v>-8902.5</v>
      </c>
      <c r="M12" s="67" t="n">
        <f aca="false">-Overheads!M24</f>
        <v>-8903.7474</v>
      </c>
      <c r="N12" s="67" t="n">
        <f aca="false">-Overheads!N24</f>
        <v>-8898.50999283</v>
      </c>
      <c r="O12" s="67" t="n">
        <f aca="false">-Overheads!O24</f>
        <v>-8966.78609730093</v>
      </c>
      <c r="P12" s="67" t="n">
        <f aca="false">-Overheads!P24</f>
        <v>-8964.24231579587</v>
      </c>
      <c r="Q12" s="67" t="n">
        <f aca="false">-Overheads!Q24</f>
        <v>-9205.5881182133</v>
      </c>
      <c r="R12" s="67" t="n">
        <f aca="false">-Overheads!R24</f>
        <v>-9227.81273198719</v>
      </c>
      <c r="S12" s="67" t="n">
        <f aca="false">-Overheads!S24</f>
        <v>-9220.32892881391</v>
      </c>
      <c r="T12" s="67" t="n">
        <f aca="false">-Overheads!T24</f>
        <v>-9231.61194178613</v>
      </c>
      <c r="U12" s="67" t="n">
        <f aca="false">-Overheads!U24</f>
        <v>-9231.92910662359</v>
      </c>
      <c r="V12" s="67" t="n">
        <f aca="false">-Overheads!V24</f>
        <v>-9233.36857604462</v>
      </c>
      <c r="W12" s="67" t="n">
        <f aca="false">-Overheads!W24</f>
        <v>-9233.50422127518</v>
      </c>
      <c r="X12" s="67" t="n">
        <f aca="false">-Overheads!X24</f>
        <v>-9227.22897851103</v>
      </c>
      <c r="Y12" s="67" t="n">
        <f aca="false">-Overheads!Y24</f>
        <v>-9228.66326148239</v>
      </c>
      <c r="Z12" s="67" t="n">
        <f aca="false">-Overheads!Z24</f>
        <v>-9229.53819211605</v>
      </c>
      <c r="AA12" s="67" t="n">
        <f aca="false">-Overheads!AA24</f>
        <v>-9228.08877579403</v>
      </c>
      <c r="AB12" s="67" t="n">
        <f aca="false">-Overheads!AB24</f>
        <v>-9229.52401680943</v>
      </c>
    </row>
    <row r="13" customFormat="false" ht="15" hidden="false" customHeight="false" outlineLevel="0" collapsed="false">
      <c r="A13" s="27" t="s">
        <v>414</v>
      </c>
      <c r="B13" s="63" t="s">
        <v>75</v>
      </c>
      <c r="C13" s="66" t="n">
        <f aca="false">SUM(E13:P13)</f>
        <v>-63505.4937864255</v>
      </c>
      <c r="D13" s="66" t="n">
        <f aca="false">SUM(Q13:AB13)</f>
        <v>-73838.2880565933</v>
      </c>
      <c r="E13" s="67" t="n">
        <f aca="false">-Overheads!E25</f>
        <v>-5636.01</v>
      </c>
      <c r="F13" s="67" t="n">
        <f aca="false">-Overheads!F25</f>
        <v>-5397.13</v>
      </c>
      <c r="G13" s="67" t="n">
        <f aca="false">-Overheads!G25</f>
        <v>-4560.78</v>
      </c>
      <c r="H13" s="67" t="n">
        <f aca="false">-Overheads!H25</f>
        <v>-4836.18</v>
      </c>
      <c r="I13" s="67" t="n">
        <f aca="false">-Overheads!I25</f>
        <v>-4674.39</v>
      </c>
      <c r="J13" s="67" t="n">
        <f aca="false">-Overheads!J25</f>
        <v>-5555.41</v>
      </c>
      <c r="K13" s="67" t="n">
        <f aca="false">-Overheads!K25</f>
        <v>-5465.7</v>
      </c>
      <c r="L13" s="67" t="n">
        <f aca="false">-Overheads!L25</f>
        <v>-5641.87</v>
      </c>
      <c r="M13" s="67" t="n">
        <f aca="false">-Overheads!M25</f>
        <v>-5474.7</v>
      </c>
      <c r="N13" s="67" t="n">
        <f aca="false">-Overheads!N25</f>
        <v>-5420.04516666667</v>
      </c>
      <c r="O13" s="67" t="n">
        <f aca="false">-Overheads!O25</f>
        <v>-5421.32797305556</v>
      </c>
      <c r="P13" s="67" t="n">
        <f aca="false">-Overheads!P25</f>
        <v>-5421.95064670324</v>
      </c>
      <c r="Q13" s="67" t="n">
        <f aca="false">-Overheads!Q25</f>
        <v>-5557.47662650538</v>
      </c>
      <c r="R13" s="67" t="n">
        <f aca="false">-Overheads!R25</f>
        <v>-5557.46944620728</v>
      </c>
      <c r="S13" s="67" t="n">
        <f aca="false">-Overheads!S25</f>
        <v>-5557.46979581835</v>
      </c>
      <c r="T13" s="67" t="n">
        <f aca="false">-Overheads!T25</f>
        <v>-6367.2198755097</v>
      </c>
      <c r="U13" s="67" t="n">
        <f aca="false">-Overheads!U25</f>
        <v>-6357.77278716784</v>
      </c>
      <c r="V13" s="67" t="n">
        <f aca="false">-Overheads!V25</f>
        <v>-6348.43591893543</v>
      </c>
      <c r="W13" s="67" t="n">
        <f aca="false">-Overheads!W25</f>
        <v>-6348.65506509546</v>
      </c>
      <c r="X13" s="67" t="n">
        <f aca="false">-Overheads!X25</f>
        <v>-6348.76143851964</v>
      </c>
      <c r="Y13" s="67" t="n">
        <f aca="false">-Overheads!Y25</f>
        <v>-6348.75764079116</v>
      </c>
      <c r="Z13" s="67" t="n">
        <f aca="false">-Overheads!Z25</f>
        <v>-6348.75644407471</v>
      </c>
      <c r="AA13" s="67" t="n">
        <f aca="false">-Overheads!AA25</f>
        <v>-6348.75650234323</v>
      </c>
      <c r="AB13" s="67" t="n">
        <f aca="false">-Overheads!AB25</f>
        <v>-6348.75651562512</v>
      </c>
    </row>
    <row r="14" customFormat="false" ht="15" hidden="false" customHeight="false" outlineLevel="0" collapsed="false">
      <c r="A14" s="27" t="s">
        <v>1074</v>
      </c>
      <c r="B14" s="63" t="s">
        <v>1075</v>
      </c>
      <c r="C14" s="66" t="n">
        <f aca="false">SUM(E14:P14)</f>
        <v>-672894.815549789</v>
      </c>
      <c r="D14" s="66" t="n">
        <f aca="false">SUM(Q14:AB14)</f>
        <v>-765628.07269048</v>
      </c>
      <c r="E14" s="67" t="n">
        <f aca="false">-(Licences!E10-Rebates!E18)</f>
        <v>-53873.401769072</v>
      </c>
      <c r="F14" s="67" t="n">
        <f aca="false">-(Licences!F10-Rebates!F18)</f>
        <v>-54051.3896361947</v>
      </c>
      <c r="G14" s="67" t="n">
        <f aca="false">-(Licences!G10-Rebates!G18)</f>
        <v>-55363.5192466574</v>
      </c>
      <c r="H14" s="67" t="n">
        <f aca="false">-(Licences!H10-Rebates!H18)</f>
        <v>-55460.7996032472</v>
      </c>
      <c r="I14" s="67" t="n">
        <f aca="false">-(Licences!I10-Rebates!I18)</f>
        <v>-54495.1602988441</v>
      </c>
      <c r="J14" s="67" t="n">
        <f aca="false">-(Licences!J10-Rebates!J18)</f>
        <v>-54493.0496206928</v>
      </c>
      <c r="K14" s="67" t="n">
        <f aca="false">-(Licences!K10-Rebates!K18)</f>
        <v>-56042.6502780157</v>
      </c>
      <c r="L14" s="67" t="n">
        <f aca="false">-(Licences!L10-Rebates!L18)</f>
        <v>-56338.0397295393</v>
      </c>
      <c r="M14" s="67" t="n">
        <f aca="false">-(Licences!M10-Rebates!M18)</f>
        <v>-56483.69062815</v>
      </c>
      <c r="N14" s="67" t="n">
        <f aca="false">-(Licences!N10-Rebates!N18)</f>
        <v>-56251.0810656494</v>
      </c>
      <c r="O14" s="67" t="n">
        <f aca="false">-(Licences!O10-Rebates!O18)</f>
        <v>-60033.1135274116</v>
      </c>
      <c r="P14" s="67" t="n">
        <f aca="false">-(Licences!P10-Rebates!P18)</f>
        <v>-60008.9201463151</v>
      </c>
      <c r="Q14" s="67" t="n">
        <f aca="false">-(Licences!Q10-Rebates!Q18)</f>
        <v>-62701.1907311009</v>
      </c>
      <c r="R14" s="67" t="n">
        <f aca="false">-(Licences!R10-Rebates!R18)</f>
        <v>-63680.8531008895</v>
      </c>
      <c r="S14" s="67" t="n">
        <f aca="false">-(Licences!S10-Rebates!S18)</f>
        <v>-63195.8540337482</v>
      </c>
      <c r="T14" s="67" t="n">
        <f aca="false">-(Licences!T10-Rebates!T18)</f>
        <v>-63781.4201264769</v>
      </c>
      <c r="U14" s="67" t="n">
        <f aca="false">-(Licences!U10-Rebates!U18)</f>
        <v>-63859.3893463471</v>
      </c>
      <c r="V14" s="67" t="n">
        <f aca="false">-(Licences!V10-Rebates!V18)</f>
        <v>-64008.1854356738</v>
      </c>
      <c r="W14" s="67" t="n">
        <f aca="false">-(Licences!W10-Rebates!W18)</f>
        <v>-64098.5130402224</v>
      </c>
      <c r="X14" s="67" t="n">
        <f aca="false">-(Licences!X10-Rebates!X18)</f>
        <v>-63825.5320397538</v>
      </c>
      <c r="Y14" s="67" t="n">
        <f aca="false">-(Licences!Y10-Rebates!Y18)</f>
        <v>-63974.3944343394</v>
      </c>
      <c r="Z14" s="67" t="n">
        <f aca="false">-(Licences!Z10-Rebates!Z18)</f>
        <v>-64077.5794340896</v>
      </c>
      <c r="AA14" s="67" t="n">
        <f aca="false">-(Licences!AA10-Rebates!AA18)</f>
        <v>-64137.7223827167</v>
      </c>
      <c r="AB14" s="67" t="n">
        <f aca="false">-(Licences!AB10-Rebates!AB18)</f>
        <v>-64287.4385851216</v>
      </c>
    </row>
    <row r="15" customFormat="false" ht="15" hidden="false" customHeight="false" outlineLevel="0" collapsed="false">
      <c r="A15" s="59" t="s">
        <v>1076</v>
      </c>
      <c r="B15" s="60"/>
      <c r="C15" s="61" t="n">
        <f aca="false">SUM(E15:P15)</f>
        <v>1262399.40405269</v>
      </c>
      <c r="D15" s="61" t="n">
        <f aca="false">SUM(Q15:AB15)</f>
        <v>1439390.11347882</v>
      </c>
      <c r="E15" s="61" t="n">
        <f aca="false">E9+E10+E11+E12+E13+E14</f>
        <v>90606.9993091625</v>
      </c>
      <c r="F15" s="61" t="n">
        <f aca="false">F9+F10+F11+F12+F13+F14</f>
        <v>93198.9652577833</v>
      </c>
      <c r="G15" s="61" t="n">
        <f aca="false">G9+G10+G11+G12+G13+G14</f>
        <v>99026.3215697395</v>
      </c>
      <c r="H15" s="61" t="n">
        <f aca="false">H9+H10+H11+H12+H13+H14</f>
        <v>104402.287529711</v>
      </c>
      <c r="I15" s="61" t="n">
        <f aca="false">I9+I10+I11+I12+I13+I14</f>
        <v>100724.627726922</v>
      </c>
      <c r="J15" s="61" t="n">
        <f aca="false">J9+J10+J11+J12+J13+J14</f>
        <v>106388.583654171</v>
      </c>
      <c r="K15" s="61" t="n">
        <f aca="false">K9+K10+K11+K12+K13+K14</f>
        <v>108543.390645266</v>
      </c>
      <c r="L15" s="61" t="n">
        <f aca="false">L9+L10+L11+L12+L13+L14</f>
        <v>118892.872237428</v>
      </c>
      <c r="M15" s="61" t="n">
        <f aca="false">M9+M10+M11+M12+M13+M14</f>
        <v>109184.875856244</v>
      </c>
      <c r="N15" s="61" t="n">
        <f aca="false">N9+N10+N11+N12+N13+N14</f>
        <v>107992.525521221</v>
      </c>
      <c r="O15" s="61" t="n">
        <f aca="false">O9+O10+O11+O12+O13+O14</f>
        <v>107443.664494923</v>
      </c>
      <c r="P15" s="61" t="n">
        <f aca="false">P9+P10+P11+P12+P13+P14</f>
        <v>115994.290250117</v>
      </c>
      <c r="Q15" s="61" t="n">
        <f aca="false">Q9+Q10+Q11+Q12+Q13+Q14</f>
        <v>112025.349646116</v>
      </c>
      <c r="R15" s="61" t="n">
        <f aca="false">R9+R10+R11+R12+R13+R14</f>
        <v>116949.171446381</v>
      </c>
      <c r="S15" s="61" t="n">
        <f aca="false">S9+S10+S11+S12+S13+S14</f>
        <v>115995.010390959</v>
      </c>
      <c r="T15" s="61" t="n">
        <f aca="false">T9+T10+T11+T12+T13+T14</f>
        <v>120371.873799468</v>
      </c>
      <c r="U15" s="61" t="n">
        <f aca="false">U9+U10+U11+U12+U13+U14</f>
        <v>117935.203986917</v>
      </c>
      <c r="V15" s="61" t="n">
        <f aca="false">V9+V10+V11+V12+V13+V14</f>
        <v>119053.708213777</v>
      </c>
      <c r="W15" s="61" t="n">
        <f aca="false">W9+W10+W11+W12+W13+W14</f>
        <v>125387.182095772</v>
      </c>
      <c r="X15" s="61" t="n">
        <f aca="false">X9+X10+X11+X12+X13+X14</f>
        <v>132785.559859074</v>
      </c>
      <c r="Y15" s="61" t="n">
        <f aca="false">Y9+Y10+Y11+Y12+Y13+Y14</f>
        <v>119844.532174417</v>
      </c>
      <c r="Z15" s="61" t="n">
        <f aca="false">Z9+Z10+Z11+Z12+Z13+Z14</f>
        <v>117725.464615714</v>
      </c>
      <c r="AA15" s="61" t="n">
        <f aca="false">AA9+AA10+AA11+AA12+AA13+AA14</f>
        <v>117636.677897166</v>
      </c>
      <c r="AB15" s="61" t="n">
        <f aca="false">AB9+AB10+AB11+AB12+AB13+AB14</f>
        <v>123680.379353061</v>
      </c>
    </row>
    <row r="16" customFormat="false" ht="15" hidden="false" customHeight="false" outlineLevel="0" collapsed="false">
      <c r="A16" s="27" t="s">
        <v>376</v>
      </c>
      <c r="B16" s="63"/>
      <c r="C16" s="65" t="n">
        <f aca="false">IF(C9=0,0,C15/C9)</f>
        <v>0.35194421308257</v>
      </c>
      <c r="D16" s="65" t="n">
        <f aca="false">IF(D9=0,0,D15/D9)</f>
        <v>0.34952332283804</v>
      </c>
      <c r="E16" s="79" t="n">
        <f aca="false">IF(E9=0,0,E15/E9)</f>
        <v>0.314198709052252</v>
      </c>
      <c r="F16" s="79" t="n">
        <f aca="false">IF(F9=0,0,F15/F9)</f>
        <v>0.321500140650226</v>
      </c>
      <c r="G16" s="79" t="n">
        <f aca="false">IF(G9=0,0,G15/G9)</f>
        <v>0.33601398359303</v>
      </c>
      <c r="H16" s="79" t="n">
        <f aca="false">IF(H9=0,0,H15/H9)</f>
        <v>0.354601450898543</v>
      </c>
      <c r="I16" s="79" t="n">
        <f aca="false">IF(I9=0,0,I15/I9)</f>
        <v>0.348115323894198</v>
      </c>
      <c r="J16" s="79" t="n">
        <f aca="false">IF(J9=0,0,J15/J9)</f>
        <v>0.36471925107071</v>
      </c>
      <c r="K16" s="79" t="n">
        <f aca="false">IF(K9=0,0,K15/K9)</f>
        <v>0.369955729554744</v>
      </c>
      <c r="L16" s="79" t="n">
        <f aca="false">IF(L9=0,0,L15/L9)</f>
        <v>0.399809923330515</v>
      </c>
      <c r="M16" s="79" t="n">
        <f aca="false">IF(M9=0,0,M15/M9)</f>
        <v>0.36537177069873</v>
      </c>
      <c r="N16" s="79" t="n">
        <f aca="false">IF(N9=0,0,N15/N9)</f>
        <v>0.352847701552311</v>
      </c>
      <c r="O16" s="79" t="n">
        <f aca="false">IF(O9=0,0,O15/O9)</f>
        <v>0.338820838010449</v>
      </c>
      <c r="P16" s="79" t="n">
        <f aca="false">IF(P9=0,0,P15/P9)</f>
        <v>0.35611337865641</v>
      </c>
      <c r="Q16" s="79" t="n">
        <f aca="false">IF(Q9=0,0,Q15/Q9)</f>
        <v>0.336454887177737</v>
      </c>
      <c r="R16" s="79" t="n">
        <f aca="false">IF(R9=0,0,R15/R9)</f>
        <v>0.345895826892972</v>
      </c>
      <c r="S16" s="79" t="n">
        <f aca="false">IF(S9=0,0,S15/S9)</f>
        <v>0.34262296366969</v>
      </c>
      <c r="T16" s="79" t="n">
        <f aca="false">IF(T9=0,0,T15/T9)</f>
        <v>0.351425772820062</v>
      </c>
      <c r="U16" s="79" t="n">
        <f aca="false">IF(U9=0,0,U15/U9)</f>
        <v>0.343568037165429</v>
      </c>
      <c r="V16" s="79" t="n">
        <f aca="false">IF(V9=0,0,V15/V9)</f>
        <v>0.346005634150047</v>
      </c>
      <c r="W16" s="79" t="n">
        <f aca="false">IF(W9=0,0,W15/W9)</f>
        <v>0.363283919089146</v>
      </c>
      <c r="X16" s="79" t="n">
        <f aca="false">IF(X9=0,0,X15/X9)</f>
        <v>0.386444676556845</v>
      </c>
      <c r="Y16" s="79" t="n">
        <f aca="false">IF(Y9=0,0,Y15/Y9)</f>
        <v>0.346553064605578</v>
      </c>
      <c r="Z16" s="79" t="n">
        <f aca="false">IF(Z9=0,0,Z15/Z9)</f>
        <v>0.339231148043909</v>
      </c>
      <c r="AA16" s="79" t="n">
        <f aca="false">IF(AA9=0,0,AA15/AA9)</f>
        <v>0.33795533727365</v>
      </c>
      <c r="AB16" s="79" t="n">
        <f aca="false">IF(AB9=0,0,AB15/AB9)</f>
        <v>0.35441317616382</v>
      </c>
    </row>
    <row r="17" customFormat="false" ht="15" hidden="false" customHeight="false" outlineLevel="0" collapsed="false">
      <c r="A17" s="21" t="s">
        <v>1077</v>
      </c>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row>
    <row r="18" customFormat="false" ht="15" hidden="false" customHeight="false" outlineLevel="0" collapsed="false">
      <c r="A18" s="27" t="s">
        <v>44</v>
      </c>
      <c r="B18" s="63" t="s">
        <v>44</v>
      </c>
      <c r="C18" s="66" t="n">
        <f aca="false">SUM(E18:P18)</f>
        <v>2513080</v>
      </c>
      <c r="D18" s="66" t="n">
        <f aca="false">SUM(Q18:AB18)</f>
        <v>2485600</v>
      </c>
      <c r="E18" s="67" t="n">
        <f aca="false">Revenue!E15</f>
        <v>186000</v>
      </c>
      <c r="F18" s="67" t="n">
        <f aca="false">Revenue!F15</f>
        <v>197000</v>
      </c>
      <c r="G18" s="67" t="n">
        <f aca="false">Revenue!G15</f>
        <v>224000</v>
      </c>
      <c r="H18" s="67" t="n">
        <f aca="false">Revenue!H15</f>
        <v>201000</v>
      </c>
      <c r="I18" s="67" t="n">
        <f aca="false">Revenue!I15</f>
        <v>212000</v>
      </c>
      <c r="J18" s="67" t="n">
        <f aca="false">Revenue!J15</f>
        <v>238000</v>
      </c>
      <c r="K18" s="67" t="n">
        <f aca="false">Revenue!K15</f>
        <v>196000</v>
      </c>
      <c r="L18" s="67" t="n">
        <f aca="false">Revenue!L15</f>
        <v>121000</v>
      </c>
      <c r="M18" s="67" t="n">
        <f aca="false">Revenue!M15</f>
        <v>245440</v>
      </c>
      <c r="N18" s="67" t="n">
        <f aca="false">Revenue!N15</f>
        <v>266240</v>
      </c>
      <c r="O18" s="67" t="n">
        <f aca="false">Revenue!O15</f>
        <v>222560</v>
      </c>
      <c r="P18" s="67" t="n">
        <f aca="false">Revenue!P15</f>
        <v>203840</v>
      </c>
      <c r="Q18" s="67" t="n">
        <f aca="false">Revenue!Q15</f>
        <v>183040</v>
      </c>
      <c r="R18" s="67" t="n">
        <f aca="false">Revenue!R15</f>
        <v>191360</v>
      </c>
      <c r="S18" s="67" t="n">
        <f aca="false">Revenue!S15</f>
        <v>218400</v>
      </c>
      <c r="T18" s="67" t="n">
        <f aca="false">Revenue!T15</f>
        <v>197600</v>
      </c>
      <c r="U18" s="67" t="n">
        <f aca="false">Revenue!U15</f>
        <v>208000</v>
      </c>
      <c r="V18" s="67" t="n">
        <f aca="false">Revenue!V15</f>
        <v>232960</v>
      </c>
      <c r="W18" s="67" t="n">
        <f aca="false">Revenue!W15</f>
        <v>191360</v>
      </c>
      <c r="X18" s="67" t="n">
        <f aca="false">Revenue!X15</f>
        <v>124800</v>
      </c>
      <c r="Y18" s="67" t="n">
        <f aca="false">Revenue!Y15</f>
        <v>245440</v>
      </c>
      <c r="Z18" s="67" t="n">
        <f aca="false">Revenue!Z15</f>
        <v>266240</v>
      </c>
      <c r="AA18" s="67" t="n">
        <f aca="false">Revenue!AA15</f>
        <v>222560</v>
      </c>
      <c r="AB18" s="67" t="n">
        <f aca="false">Revenue!AB15</f>
        <v>203840</v>
      </c>
    </row>
    <row r="19" customFormat="false" ht="15" hidden="false" customHeight="false" outlineLevel="0" collapsed="false">
      <c r="A19" s="27" t="s">
        <v>1078</v>
      </c>
      <c r="B19" s="63" t="s">
        <v>53</v>
      </c>
      <c r="C19" s="66" t="n">
        <f aca="false">SUM(E19:P19)</f>
        <v>-2191236.76</v>
      </c>
      <c r="D19" s="66" t="n">
        <f aca="false">SUM(Q19:AB19)</f>
        <v>-2167443.2</v>
      </c>
      <c r="E19" s="67" t="n">
        <f aca="false">-Hardware!E9</f>
        <v>-161634</v>
      </c>
      <c r="F19" s="67" t="n">
        <f aca="false">-Hardware!F9</f>
        <v>-171587</v>
      </c>
      <c r="G19" s="67" t="n">
        <f aca="false">-Hardware!G9</f>
        <v>-195328</v>
      </c>
      <c r="H19" s="67" t="n">
        <f aca="false">-Hardware!H9</f>
        <v>-175473</v>
      </c>
      <c r="I19" s="67" t="n">
        <f aca="false">-Hardware!I9</f>
        <v>-184652</v>
      </c>
      <c r="J19" s="67" t="n">
        <f aca="false">-Hardware!J9</f>
        <v>-208012</v>
      </c>
      <c r="K19" s="67" t="n">
        <f aca="false">-Hardware!K9</f>
        <v>-170912</v>
      </c>
      <c r="L19" s="67" t="n">
        <f aca="false">-Hardware!L9</f>
        <v>-105633</v>
      </c>
      <c r="M19" s="67" t="n">
        <f aca="false">-Hardware!M9</f>
        <v>-214023.68</v>
      </c>
      <c r="N19" s="67" t="n">
        <f aca="false">-Hardware!N9</f>
        <v>-232161.28</v>
      </c>
      <c r="O19" s="67" t="n">
        <f aca="false">-Hardware!O9</f>
        <v>-194072.32</v>
      </c>
      <c r="P19" s="67" t="n">
        <f aca="false">-Hardware!P9</f>
        <v>-177748.48</v>
      </c>
      <c r="Q19" s="67" t="n">
        <f aca="false">-Hardware!Q9</f>
        <v>-159610.88</v>
      </c>
      <c r="R19" s="67" t="n">
        <f aca="false">-Hardware!R9</f>
        <v>-166865.92</v>
      </c>
      <c r="S19" s="67" t="n">
        <f aca="false">-Hardware!S9</f>
        <v>-190444.8</v>
      </c>
      <c r="T19" s="67" t="n">
        <f aca="false">-Hardware!T9</f>
        <v>-172307.2</v>
      </c>
      <c r="U19" s="67" t="n">
        <f aca="false">-Hardware!U9</f>
        <v>-181376</v>
      </c>
      <c r="V19" s="67" t="n">
        <f aca="false">-Hardware!V9</f>
        <v>-203141.12</v>
      </c>
      <c r="W19" s="67" t="n">
        <f aca="false">-Hardware!W9</f>
        <v>-166865.92</v>
      </c>
      <c r="X19" s="67" t="n">
        <f aca="false">-Hardware!X9</f>
        <v>-108825.6</v>
      </c>
      <c r="Y19" s="67" t="n">
        <f aca="false">-Hardware!Y9</f>
        <v>-214023.68</v>
      </c>
      <c r="Z19" s="67" t="n">
        <f aca="false">-Hardware!Z9</f>
        <v>-232161.28</v>
      </c>
      <c r="AA19" s="67" t="n">
        <f aca="false">-Hardware!AA9</f>
        <v>-194072.32</v>
      </c>
      <c r="AB19" s="67" t="n">
        <f aca="false">-Hardware!AB9</f>
        <v>-177748.48</v>
      </c>
    </row>
    <row r="20" customFormat="false" ht="15" hidden="false" customHeight="false" outlineLevel="0" collapsed="false">
      <c r="A20" s="27" t="s">
        <v>1079</v>
      </c>
      <c r="B20" s="63" t="s">
        <v>57</v>
      </c>
      <c r="C20" s="66" t="n">
        <f aca="false">SUM(E20:P20)</f>
        <v>32625.1694564516</v>
      </c>
      <c r="D20" s="66" t="n">
        <f aca="false">SUM(Q20:AB20)</f>
        <v>32511.648</v>
      </c>
      <c r="E20" s="67" t="n">
        <f aca="false">Rebates!E13</f>
        <v>2085.58</v>
      </c>
      <c r="F20" s="67" t="n">
        <f aca="false">Rebates!F13</f>
        <v>2609.27</v>
      </c>
      <c r="G20" s="67" t="n">
        <f aca="false">Rebates!G13</f>
        <v>3163.67</v>
      </c>
      <c r="H20" s="67" t="n">
        <f aca="false">Rebates!H13</f>
        <v>2553.48</v>
      </c>
      <c r="I20" s="67" t="n">
        <f aca="false">Rebates!I13</f>
        <v>2662.02</v>
      </c>
      <c r="J20" s="67" t="n">
        <f aca="false">Rebates!J13</f>
        <v>3327.43</v>
      </c>
      <c r="K20" s="67" t="n">
        <f aca="false">Rebates!K13</f>
        <v>2326.49</v>
      </c>
      <c r="L20" s="67" t="n">
        <f aca="false">Rebates!L13</f>
        <v>1214.18</v>
      </c>
      <c r="M20" s="67" t="n">
        <f aca="false">Rebates!M13</f>
        <v>3917.38141</v>
      </c>
      <c r="N20" s="67" t="n">
        <f aca="false">Rebates!N13</f>
        <v>3556.95888516129</v>
      </c>
      <c r="O20" s="67" t="n">
        <f aca="false">Rebates!O13</f>
        <v>2696.88559483871</v>
      </c>
      <c r="P20" s="67" t="n">
        <f aca="false">Rebates!P13</f>
        <v>2511.82356645161</v>
      </c>
      <c r="Q20" s="67" t="n">
        <f aca="false">Rebates!Q13</f>
        <v>2271.29558709677</v>
      </c>
      <c r="R20" s="67" t="n">
        <f aca="false">Rebates!R13</f>
        <v>2673.24820645161</v>
      </c>
      <c r="S20" s="67" t="n">
        <f aca="false">Rebates!S13</f>
        <v>2895.28753548387</v>
      </c>
      <c r="T20" s="67" t="n">
        <f aca="false">Rebates!T13</f>
        <v>2500.64846451613</v>
      </c>
      <c r="U20" s="67" t="n">
        <f aca="false">Rebates!U13</f>
        <v>2743.16572903226</v>
      </c>
      <c r="V20" s="67" t="n">
        <f aca="false">Rebates!V13</f>
        <v>3240.42851096774</v>
      </c>
      <c r="W20" s="67" t="n">
        <f aca="false">Rebates!W13</f>
        <v>2211.38299870968</v>
      </c>
      <c r="X20" s="67" t="n">
        <f aca="false">Rebates!X13</f>
        <v>1239.20763870968</v>
      </c>
      <c r="Y20" s="67" t="n">
        <f aca="false">Rebates!Y13</f>
        <v>3971.31528258065</v>
      </c>
      <c r="Z20" s="67" t="n">
        <f aca="false">Rebates!Z13</f>
        <v>3556.95888516129</v>
      </c>
      <c r="AA20" s="67" t="n">
        <f aca="false">Rebates!AA13</f>
        <v>2696.88559483871</v>
      </c>
      <c r="AB20" s="67" t="n">
        <f aca="false">Rebates!AB13</f>
        <v>2511.82356645161</v>
      </c>
    </row>
    <row r="21" customFormat="false" ht="15" hidden="false" customHeight="false" outlineLevel="0" collapsed="false">
      <c r="A21" s="59" t="s">
        <v>1080</v>
      </c>
      <c r="B21" s="60"/>
      <c r="C21" s="61" t="n">
        <f aca="false">SUM(E21:P21)</f>
        <v>354468.409456452</v>
      </c>
      <c r="D21" s="61" t="n">
        <f aca="false">SUM(Q21:AB21)</f>
        <v>350668.448</v>
      </c>
      <c r="E21" s="61" t="n">
        <f aca="false">E18+E19+E20</f>
        <v>26451.58</v>
      </c>
      <c r="F21" s="61" t="n">
        <f aca="false">F18+F19+F20</f>
        <v>28022.27</v>
      </c>
      <c r="G21" s="61" t="n">
        <f aca="false">G18+G19+G20</f>
        <v>31835.67</v>
      </c>
      <c r="H21" s="61" t="n">
        <f aca="false">H18+H19+H20</f>
        <v>28080.48</v>
      </c>
      <c r="I21" s="61" t="n">
        <f aca="false">I18+I19+I20</f>
        <v>30010.02</v>
      </c>
      <c r="J21" s="61" t="n">
        <f aca="false">J18+J19+J20</f>
        <v>33315.43</v>
      </c>
      <c r="K21" s="61" t="n">
        <f aca="false">K18+K19+K20</f>
        <v>27414.49</v>
      </c>
      <c r="L21" s="61" t="n">
        <f aca="false">L18+L19+L20</f>
        <v>16581.18</v>
      </c>
      <c r="M21" s="61" t="n">
        <f aca="false">M18+M19+M20</f>
        <v>35333.70141</v>
      </c>
      <c r="N21" s="61" t="n">
        <f aca="false">N18+N19+N20</f>
        <v>37635.6788851613</v>
      </c>
      <c r="O21" s="61" t="n">
        <f aca="false">O18+O19+O20</f>
        <v>31184.5655948387</v>
      </c>
      <c r="P21" s="61" t="n">
        <f aca="false">P18+P19+P20</f>
        <v>28603.3435664516</v>
      </c>
      <c r="Q21" s="61" t="n">
        <f aca="false">Q18+Q19+Q20</f>
        <v>25700.4155870968</v>
      </c>
      <c r="R21" s="61" t="n">
        <f aca="false">R18+R19+R20</f>
        <v>27167.3282064516</v>
      </c>
      <c r="S21" s="61" t="n">
        <f aca="false">S18+S19+S20</f>
        <v>30850.4875354839</v>
      </c>
      <c r="T21" s="61" t="n">
        <f aca="false">T18+T19+T20</f>
        <v>27793.4484645161</v>
      </c>
      <c r="U21" s="61" t="n">
        <f aca="false">U18+U19+U20</f>
        <v>29367.1657290323</v>
      </c>
      <c r="V21" s="61" t="n">
        <f aca="false">V18+V19+V20</f>
        <v>33059.3085109678</v>
      </c>
      <c r="W21" s="61" t="n">
        <f aca="false">W18+W19+W20</f>
        <v>26705.4629987097</v>
      </c>
      <c r="X21" s="61" t="n">
        <f aca="false">X18+X19+X20</f>
        <v>17213.6076387097</v>
      </c>
      <c r="Y21" s="61" t="n">
        <f aca="false">Y18+Y19+Y20</f>
        <v>35387.6352825807</v>
      </c>
      <c r="Z21" s="61" t="n">
        <f aca="false">Z18+Z19+Z20</f>
        <v>37635.6788851613</v>
      </c>
      <c r="AA21" s="61" t="n">
        <f aca="false">AA18+AA19+AA20</f>
        <v>31184.5655948387</v>
      </c>
      <c r="AB21" s="61" t="n">
        <f aca="false">AB18+AB19+AB20</f>
        <v>28603.3435664516</v>
      </c>
    </row>
    <row r="22" customFormat="false" ht="15" hidden="false" customHeight="false" outlineLevel="0" collapsed="false">
      <c r="A22" s="27" t="s">
        <v>376</v>
      </c>
      <c r="B22" s="63"/>
      <c r="C22" s="65" t="n">
        <f aca="false">IF(C18=0,0,C21/C18)</f>
        <v>0.141049393356539</v>
      </c>
      <c r="D22" s="65" t="n">
        <f aca="false">IF(D18=0,0,D21/D18)</f>
        <v>0.14108</v>
      </c>
      <c r="E22" s="79" t="n">
        <f aca="false">IF(E18=0,0,E21/E18)</f>
        <v>0.142212795698925</v>
      </c>
      <c r="F22" s="79" t="n">
        <f aca="false">IF(F18=0,0,F21/F18)</f>
        <v>0.142245025380711</v>
      </c>
      <c r="G22" s="79" t="n">
        <f aca="false">IF(G18=0,0,G21/G18)</f>
        <v>0.142123526785714</v>
      </c>
      <c r="H22" s="79" t="n">
        <f aca="false">IF(H18=0,0,H21/H18)</f>
        <v>0.139703880597015</v>
      </c>
      <c r="I22" s="79" t="n">
        <f aca="false">IF(I18=0,0,I21/I18)</f>
        <v>0.141556698113208</v>
      </c>
      <c r="J22" s="79" t="n">
        <f aca="false">IF(J18=0,0,J21/J18)</f>
        <v>0.139980798319328</v>
      </c>
      <c r="K22" s="79" t="n">
        <f aca="false">IF(K18=0,0,K21/K18)</f>
        <v>0.139869846938776</v>
      </c>
      <c r="L22" s="79" t="n">
        <f aca="false">IF(L18=0,0,L21/L18)</f>
        <v>0.137034545454545</v>
      </c>
      <c r="M22" s="79" t="n">
        <f aca="false">IF(M18=0,0,M21/M18)</f>
        <v>0.14396064785691</v>
      </c>
      <c r="N22" s="79" t="n">
        <f aca="false">IF(N18=0,0,N21/N18)</f>
        <v>0.141359971774194</v>
      </c>
      <c r="O22" s="79" t="n">
        <f aca="false">IF(O18=0,0,O21/O18)</f>
        <v>0.140117566475731</v>
      </c>
      <c r="P22" s="79" t="n">
        <f aca="false">IF(P18=0,0,P21/P18)</f>
        <v>0.140322525345622</v>
      </c>
      <c r="Q22" s="79" t="n">
        <f aca="false">IF(Q18=0,0,Q21/Q18)</f>
        <v>0.140408739002933</v>
      </c>
      <c r="R22" s="79" t="n">
        <f aca="false">IF(R18=0,0,R21/R18)</f>
        <v>0.141969733520337</v>
      </c>
      <c r="S22" s="79" t="n">
        <f aca="false">IF(S18=0,0,S21/S18)</f>
        <v>0.141256811059908</v>
      </c>
      <c r="T22" s="79" t="n">
        <f aca="false">IF(T18=0,0,T21/T18)</f>
        <v>0.140655103565365</v>
      </c>
      <c r="U22" s="79" t="n">
        <f aca="false">IF(U18=0,0,U21/U18)</f>
        <v>0.141188296774194</v>
      </c>
      <c r="V22" s="79" t="n">
        <f aca="false">IF(V18=0,0,V21/V18)</f>
        <v>0.141909806451613</v>
      </c>
      <c r="W22" s="79" t="n">
        <f aca="false">IF(W18=0,0,W21/W18)</f>
        <v>0.139556140252454</v>
      </c>
      <c r="X22" s="79" t="n">
        <f aca="false">IF(X18=0,0,X21/X18)</f>
        <v>0.137929548387097</v>
      </c>
      <c r="Y22" s="79" t="n">
        <f aca="false">IF(Y18=0,0,Y21/Y18)</f>
        <v>0.144180391470749</v>
      </c>
      <c r="Z22" s="79" t="n">
        <f aca="false">IF(Z18=0,0,Z21/Z18)</f>
        <v>0.141359971774194</v>
      </c>
      <c r="AA22" s="79" t="n">
        <f aca="false">IF(AA18=0,0,AA21/AA18)</f>
        <v>0.140117566475731</v>
      </c>
      <c r="AB22" s="79" t="n">
        <f aca="false">IF(AB18=0,0,AB21/AB18)</f>
        <v>0.140322525345622</v>
      </c>
    </row>
    <row r="23" customFormat="false" ht="15" hidden="false" customHeight="false" outlineLevel="0" collapsed="false">
      <c r="A23" s="21" t="s">
        <v>1081</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row>
    <row r="24" customFormat="false" ht="15" hidden="false" customHeight="false" outlineLevel="0" collapsed="false">
      <c r="A24" s="27" t="s">
        <v>44</v>
      </c>
      <c r="B24" s="63" t="s">
        <v>44</v>
      </c>
      <c r="C24" s="66" t="n">
        <f aca="false">SUM(E24:P24)</f>
        <v>508805.79875</v>
      </c>
      <c r="D24" s="66" t="n">
        <f aca="false">SUM(Q24:AB24)</f>
        <v>522486.66</v>
      </c>
      <c r="E24" s="67" t="n">
        <f aca="false">Revenue!E20</f>
        <v>40560.95</v>
      </c>
      <c r="F24" s="67" t="n">
        <f aca="false">Revenue!F20</f>
        <v>41360.3666666667</v>
      </c>
      <c r="G24" s="67" t="n">
        <f aca="false">Revenue!G20</f>
        <v>43158.9666666667</v>
      </c>
      <c r="H24" s="67" t="n">
        <f aca="false">Revenue!H20</f>
        <v>41960.0166666667</v>
      </c>
      <c r="I24" s="67" t="n">
        <f aca="false">Revenue!I20</f>
        <v>42151.5666666667</v>
      </c>
      <c r="J24" s="67" t="n">
        <f aca="false">Revenue!J20</f>
        <v>42684.55</v>
      </c>
      <c r="K24" s="67" t="n">
        <f aca="false">Revenue!K20</f>
        <v>41885.25</v>
      </c>
      <c r="L24" s="67" t="n">
        <f aca="false">Revenue!L20</f>
        <v>39512.2333333333</v>
      </c>
      <c r="M24" s="67" t="n">
        <f aca="false">Revenue!M20</f>
        <v>42854.9470166667</v>
      </c>
      <c r="N24" s="67" t="n">
        <f aca="false">Revenue!N20</f>
        <v>43470.7223666667</v>
      </c>
      <c r="O24" s="67" t="n">
        <f aca="false">Revenue!O20</f>
        <v>44157.3227666667</v>
      </c>
      <c r="P24" s="67" t="n">
        <f aca="false">Revenue!P20</f>
        <v>45048.9066</v>
      </c>
      <c r="Q24" s="67" t="n">
        <f aca="false">Revenue!Q20</f>
        <v>41819.3207666667</v>
      </c>
      <c r="R24" s="67" t="n">
        <f aca="false">Revenue!R20</f>
        <v>42347.9377333333</v>
      </c>
      <c r="S24" s="67" t="n">
        <f aca="false">Revenue!S20</f>
        <v>44028.4387333333</v>
      </c>
      <c r="T24" s="67" t="n">
        <f aca="false">Revenue!T20</f>
        <v>42865.72965</v>
      </c>
      <c r="U24" s="67" t="n">
        <f aca="false">Revenue!U20</f>
        <v>43140.2048</v>
      </c>
      <c r="V24" s="67" t="n">
        <f aca="false">Revenue!V20</f>
        <v>43682.8217666667</v>
      </c>
      <c r="W24" s="67" t="n">
        <f aca="false">Revenue!W20</f>
        <v>42913.2379333333</v>
      </c>
      <c r="X24" s="67" t="n">
        <f aca="false">Revenue!X20</f>
        <v>40671.4698666667</v>
      </c>
      <c r="Y24" s="67" t="n">
        <f aca="false">Revenue!Y20</f>
        <v>44223.2136833333</v>
      </c>
      <c r="Z24" s="67" t="n">
        <f aca="false">Revenue!Z20</f>
        <v>44840.9890333333</v>
      </c>
      <c r="AA24" s="67" t="n">
        <f aca="false">Revenue!AA20</f>
        <v>45529.1894333333</v>
      </c>
      <c r="AB24" s="67" t="n">
        <f aca="false">Revenue!AB20</f>
        <v>46424.1066</v>
      </c>
    </row>
    <row r="25" customFormat="false" ht="15" hidden="false" customHeight="false" outlineLevel="0" collapsed="false">
      <c r="A25" s="27" t="s">
        <v>1082</v>
      </c>
      <c r="B25" s="63" t="s">
        <v>1075</v>
      </c>
      <c r="C25" s="66" t="n">
        <f aca="false">SUM(E25:P25)</f>
        <v>-300989.031817737</v>
      </c>
      <c r="D25" s="66" t="n">
        <f aca="false">SUM(Q25:AB25)</f>
        <v>-313594.79328</v>
      </c>
      <c r="E25" s="67" t="n">
        <f aca="false">-(Licences!E18-Rebates!E19)</f>
        <v>-20003.198230928</v>
      </c>
      <c r="F25" s="67" t="n">
        <f aca="false">-(Licences!F18-Rebates!F19)</f>
        <v>-25325.987030472</v>
      </c>
      <c r="G25" s="67" t="n">
        <f aca="false">-(Licences!G18-Rebates!G19)</f>
        <v>-25262.9074200093</v>
      </c>
      <c r="H25" s="67" t="n">
        <f aca="false">-(Licences!H18-Rebates!H19)</f>
        <v>-25417.9470634195</v>
      </c>
      <c r="I25" s="67" t="n">
        <f aca="false">-(Licences!I18-Rebates!I19)</f>
        <v>-25576.7863678226</v>
      </c>
      <c r="J25" s="67" t="n">
        <f aca="false">-(Licences!J18-Rebates!J19)</f>
        <v>-25483.5603793072</v>
      </c>
      <c r="K25" s="67" t="n">
        <f aca="false">-(Licences!K18-Rebates!K19)</f>
        <v>-25651.5197219843</v>
      </c>
      <c r="L25" s="67" t="n">
        <f aca="false">-(Licences!L18-Rebates!L19)</f>
        <v>-25795.413603794</v>
      </c>
      <c r="M25" s="67" t="n">
        <f aca="false">-(Licences!M18-Rebates!M19)</f>
        <v>-25475.4026666667</v>
      </c>
      <c r="N25" s="67" t="n">
        <f aca="false">-(Licences!N18-Rebates!N19)</f>
        <v>-25679.3866666667</v>
      </c>
      <c r="O25" s="67" t="n">
        <f aca="false">-(Licences!O18-Rebates!O19)</f>
        <v>-25780.9226666667</v>
      </c>
      <c r="P25" s="67" t="n">
        <f aca="false">-(Licences!P18-Rebates!P19)</f>
        <v>-25536</v>
      </c>
      <c r="Q25" s="67" t="n">
        <f aca="false">-(Licences!Q18-Rebates!Q19)</f>
        <v>-20971.7946666667</v>
      </c>
      <c r="R25" s="67" t="n">
        <f aca="false">-(Licences!R18-Rebates!R19)</f>
        <v>-26468.2261333333</v>
      </c>
      <c r="S25" s="67" t="n">
        <f aca="false">-(Licences!S18-Rebates!S19)</f>
        <v>-26372.2229333333</v>
      </c>
      <c r="T25" s="67" t="n">
        <f aca="false">-(Licences!T18-Rebates!T19)</f>
        <v>-26511.9312</v>
      </c>
      <c r="U25" s="67" t="n">
        <f aca="false">-(Licences!U18-Rebates!U19)</f>
        <v>-26661.9248</v>
      </c>
      <c r="V25" s="67" t="n">
        <f aca="false">-(Licences!V18-Rebates!V19)</f>
        <v>-26523.1690666667</v>
      </c>
      <c r="W25" s="67" t="n">
        <f aca="false">-(Licences!W18-Rebates!W19)</f>
        <v>-26687.7141333333</v>
      </c>
      <c r="X25" s="67" t="n">
        <f aca="false">-(Licences!X18-Rebates!X19)</f>
        <v>-26827.2298666667</v>
      </c>
      <c r="Y25" s="67" t="n">
        <f aca="false">-(Licences!Y18-Rebates!Y19)</f>
        <v>-26494.4187733333</v>
      </c>
      <c r="Z25" s="67" t="n">
        <f aca="false">-(Licences!Z18-Rebates!Z19)</f>
        <v>-26706.5621333333</v>
      </c>
      <c r="AA25" s="67" t="n">
        <f aca="false">-(Licences!AA18-Rebates!AA19)</f>
        <v>-26812.1595733333</v>
      </c>
      <c r="AB25" s="67" t="n">
        <f aca="false">-(Licences!AB18-Rebates!AB19)</f>
        <v>-26557.44</v>
      </c>
    </row>
    <row r="26" customFormat="false" ht="15" hidden="false" customHeight="false" outlineLevel="0" collapsed="false">
      <c r="A26" s="59" t="s">
        <v>1083</v>
      </c>
      <c r="B26" s="60"/>
      <c r="C26" s="61" t="n">
        <f aca="false">SUM(E26:P26)</f>
        <v>207816.766932263</v>
      </c>
      <c r="D26" s="61" t="n">
        <f aca="false">SUM(Q26:AB26)</f>
        <v>208891.86672</v>
      </c>
      <c r="E26" s="61" t="n">
        <f aca="false">E24+E25</f>
        <v>20557.751769072</v>
      </c>
      <c r="F26" s="61" t="n">
        <f aca="false">F24+F25</f>
        <v>16034.3796361947</v>
      </c>
      <c r="G26" s="61" t="n">
        <f aca="false">G24+G25</f>
        <v>17896.0592466574</v>
      </c>
      <c r="H26" s="61" t="n">
        <f aca="false">H24+H25</f>
        <v>16542.0696032472</v>
      </c>
      <c r="I26" s="61" t="n">
        <f aca="false">I24+I25</f>
        <v>16574.7802988441</v>
      </c>
      <c r="J26" s="61" t="n">
        <f aca="false">J24+J25</f>
        <v>17200.9896206928</v>
      </c>
      <c r="K26" s="61" t="n">
        <f aca="false">K24+K25</f>
        <v>16233.7302780157</v>
      </c>
      <c r="L26" s="61" t="n">
        <f aca="false">L24+L25</f>
        <v>13716.8197295393</v>
      </c>
      <c r="M26" s="61" t="n">
        <f aca="false">M24+M25</f>
        <v>17379.54435</v>
      </c>
      <c r="N26" s="61" t="n">
        <f aca="false">N24+N25</f>
        <v>17791.3357</v>
      </c>
      <c r="O26" s="61" t="n">
        <f aca="false">O24+O25</f>
        <v>18376.4001</v>
      </c>
      <c r="P26" s="61" t="n">
        <f aca="false">P24+P25</f>
        <v>19512.9066</v>
      </c>
      <c r="Q26" s="61" t="n">
        <f aca="false">Q24+Q25</f>
        <v>20847.5261</v>
      </c>
      <c r="R26" s="61" t="n">
        <f aca="false">R24+R25</f>
        <v>15879.7116</v>
      </c>
      <c r="S26" s="61" t="n">
        <f aca="false">S24+S25</f>
        <v>17656.2158</v>
      </c>
      <c r="T26" s="61" t="n">
        <f aca="false">T24+T25</f>
        <v>16353.79845</v>
      </c>
      <c r="U26" s="61" t="n">
        <f aca="false">U24+U25</f>
        <v>16478.28</v>
      </c>
      <c r="V26" s="61" t="n">
        <f aca="false">V24+V25</f>
        <v>17159.6527</v>
      </c>
      <c r="W26" s="61" t="n">
        <f aca="false">W24+W25</f>
        <v>16225.5238</v>
      </c>
      <c r="X26" s="61" t="n">
        <f aca="false">X24+X25</f>
        <v>13844.24</v>
      </c>
      <c r="Y26" s="61" t="n">
        <f aca="false">Y24+Y25</f>
        <v>17728.79491</v>
      </c>
      <c r="Z26" s="61" t="n">
        <f aca="false">Z24+Z25</f>
        <v>18134.4269</v>
      </c>
      <c r="AA26" s="61" t="n">
        <f aca="false">AA24+AA25</f>
        <v>18717.02986</v>
      </c>
      <c r="AB26" s="61" t="n">
        <f aca="false">AB24+AB25</f>
        <v>19866.6666</v>
      </c>
    </row>
    <row r="27" customFormat="false" ht="15" hidden="false" customHeight="false" outlineLevel="0" collapsed="false">
      <c r="A27" s="27" t="s">
        <v>376</v>
      </c>
      <c r="B27" s="63"/>
      <c r="C27" s="65" t="n">
        <f aca="false">IF(C24=0,0,C26/C24)</f>
        <v>0.408440248603325</v>
      </c>
      <c r="D27" s="65" t="n">
        <f aca="false">IF(D24=0,0,D26/D24)</f>
        <v>0.399803253771111</v>
      </c>
      <c r="E27" s="79" t="n">
        <f aca="false">IF(E24=0,0,E26/E24)</f>
        <v>0.506836052140594</v>
      </c>
      <c r="F27" s="79" t="n">
        <f aca="false">IF(F24=0,0,F26/F24)</f>
        <v>0.387674987637795</v>
      </c>
      <c r="G27" s="79" t="n">
        <f aca="false">IF(G24=0,0,G26/G24)</f>
        <v>0.414654488483831</v>
      </c>
      <c r="H27" s="79" t="n">
        <f aca="false">IF(H24=0,0,H26/H24)</f>
        <v>0.394234104687292</v>
      </c>
      <c r="I27" s="79" t="n">
        <f aca="false">IF(I24=0,0,I26/I24)</f>
        <v>0.393218606319356</v>
      </c>
      <c r="J27" s="79" t="n">
        <f aca="false">IF(J24=0,0,J26/J24)</f>
        <v>0.402979289243833</v>
      </c>
      <c r="K27" s="79" t="n">
        <f aca="false">IF(K24=0,0,K26/K24)</f>
        <v>0.387576301395257</v>
      </c>
      <c r="L27" s="79" t="n">
        <f aca="false">IF(L24=0,0,L26/L24)</f>
        <v>0.347153743849946</v>
      </c>
      <c r="M27" s="79" t="n">
        <f aca="false">IF(M24=0,0,M26/M24)</f>
        <v>0.405543480038394</v>
      </c>
      <c r="N27" s="79" t="n">
        <f aca="false">IF(N24=0,0,N26/N24)</f>
        <v>0.409271682902661</v>
      </c>
      <c r="O27" s="79" t="n">
        <f aca="false">IF(O24=0,0,O26/O24)</f>
        <v>0.416157478502567</v>
      </c>
      <c r="P27" s="79" t="n">
        <f aca="false">IF(P24=0,0,P26/P24)</f>
        <v>0.433149394129801</v>
      </c>
      <c r="Q27" s="79" t="n">
        <f aca="false">IF(Q24=0,0,Q26/Q24)</f>
        <v>0.498514220647437</v>
      </c>
      <c r="R27" s="79" t="n">
        <f aca="false">IF(R24=0,0,R26/R24)</f>
        <v>0.374981934185206</v>
      </c>
      <c r="S27" s="79" t="n">
        <f aca="false">IF(S24=0,0,S26/S24)</f>
        <v>0.401018439625767</v>
      </c>
      <c r="T27" s="79" t="n">
        <f aca="false">IF(T24=0,0,T26/T24)</f>
        <v>0.381512191289621</v>
      </c>
      <c r="U27" s="79" t="n">
        <f aca="false">IF(U24=0,0,U26/U24)</f>
        <v>0.381970370247292</v>
      </c>
      <c r="V27" s="79" t="n">
        <f aca="false">IF(V24=0,0,V26/V24)</f>
        <v>0.392823815083625</v>
      </c>
      <c r="W27" s="79" t="n">
        <f aca="false">IF(W24=0,0,W26/W24)</f>
        <v>0.378100665002411</v>
      </c>
      <c r="X27" s="79" t="n">
        <f aca="false">IF(X24=0,0,X26/X24)</f>
        <v>0.340391926954831</v>
      </c>
      <c r="Y27" s="79" t="n">
        <f aca="false">IF(Y24=0,0,Y26/Y24)</f>
        <v>0.400893409442145</v>
      </c>
      <c r="Z27" s="79" t="n">
        <f aca="false">IF(Z24=0,0,Z26/Z24)</f>
        <v>0.40441630059764</v>
      </c>
      <c r="AA27" s="79" t="n">
        <f aca="false">IF(AA24=0,0,AA26/AA24)</f>
        <v>0.411099562565388</v>
      </c>
      <c r="AB27" s="79" t="n">
        <f aca="false">IF(AB24=0,0,AB26/AB24)</f>
        <v>0.427938587406225</v>
      </c>
    </row>
    <row r="28" customFormat="false" ht="15" hidden="false" customHeight="false" outlineLevel="0" collapsed="false">
      <c r="A28" s="21" t="s">
        <v>1084</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row>
    <row r="29" customFormat="false" ht="15" hidden="false" customHeight="false" outlineLevel="0" collapsed="false">
      <c r="A29" s="27" t="s">
        <v>44</v>
      </c>
      <c r="B29" s="63" t="s">
        <v>44</v>
      </c>
      <c r="C29" s="66" t="n">
        <f aca="false">SUM(E29:P29)</f>
        <v>923294.961904762</v>
      </c>
      <c r="D29" s="66" t="n">
        <f aca="false">SUM(Q29:AB29)</f>
        <v>1078200</v>
      </c>
      <c r="E29" s="67" t="n">
        <f aca="false">Revenue!E16</f>
        <v>50552.08</v>
      </c>
      <c r="F29" s="67" t="n">
        <f aca="false">Revenue!F16</f>
        <v>68641.43</v>
      </c>
      <c r="G29" s="67" t="n">
        <f aca="false">Revenue!G16</f>
        <v>91670.16</v>
      </c>
      <c r="H29" s="67" t="n">
        <f aca="false">Revenue!H16</f>
        <v>96051.3</v>
      </c>
      <c r="I29" s="67" t="n">
        <f aca="false">Revenue!I16</f>
        <v>88649.11</v>
      </c>
      <c r="J29" s="67" t="n">
        <f aca="false">Revenue!J16</f>
        <v>29853.61</v>
      </c>
      <c r="K29" s="67" t="n">
        <f aca="false">Revenue!K16</f>
        <v>71123.71</v>
      </c>
      <c r="L29" s="67" t="n">
        <f aca="false">Revenue!L16</f>
        <v>38771.77</v>
      </c>
      <c r="M29" s="67" t="n">
        <f aca="false">Revenue!M16</f>
        <v>90081.7919047619</v>
      </c>
      <c r="N29" s="67" t="n">
        <f aca="false">Revenue!N16</f>
        <v>104400</v>
      </c>
      <c r="O29" s="67" t="n">
        <f aca="false">Revenue!O16</f>
        <v>99000</v>
      </c>
      <c r="P29" s="67" t="n">
        <f aca="false">Revenue!P16</f>
        <v>94500</v>
      </c>
      <c r="Q29" s="67" t="n">
        <f aca="false">Revenue!Q16</f>
        <v>85500</v>
      </c>
      <c r="R29" s="67" t="n">
        <f aca="false">Revenue!R16</f>
        <v>89100</v>
      </c>
      <c r="S29" s="67" t="n">
        <f aca="false">Revenue!S16</f>
        <v>95400</v>
      </c>
      <c r="T29" s="67" t="n">
        <f aca="false">Revenue!T16</f>
        <v>91800</v>
      </c>
      <c r="U29" s="67" t="n">
        <f aca="false">Revenue!U16</f>
        <v>87300</v>
      </c>
      <c r="V29" s="67" t="n">
        <f aca="false">Revenue!V16</f>
        <v>99000</v>
      </c>
      <c r="W29" s="67" t="n">
        <f aca="false">Revenue!W16</f>
        <v>83700</v>
      </c>
      <c r="X29" s="67" t="n">
        <f aca="false">Revenue!X16</f>
        <v>54000</v>
      </c>
      <c r="Y29" s="67" t="n">
        <f aca="false">Revenue!Y16</f>
        <v>94500</v>
      </c>
      <c r="Z29" s="67" t="n">
        <f aca="false">Revenue!Z16</f>
        <v>104400</v>
      </c>
      <c r="AA29" s="67" t="n">
        <f aca="false">Revenue!AA16</f>
        <v>99000</v>
      </c>
      <c r="AB29" s="67" t="n">
        <f aca="false">Revenue!AB16</f>
        <v>94500</v>
      </c>
    </row>
    <row r="30" customFormat="false" ht="15" hidden="false" customHeight="false" outlineLevel="0" collapsed="false">
      <c r="A30" s="27" t="s">
        <v>418</v>
      </c>
      <c r="B30" s="63" t="s">
        <v>61</v>
      </c>
      <c r="C30" s="66" t="n">
        <f aca="false">SUM(E30:P30)</f>
        <v>-543010.165247759</v>
      </c>
      <c r="D30" s="66" t="n">
        <f aca="false">SUM(Q30:AB30)</f>
        <v>-594094.188411212</v>
      </c>
      <c r="E30" s="67" t="n">
        <f aca="false">-People!E119</f>
        <v>-43812.6</v>
      </c>
      <c r="F30" s="67" t="n">
        <f aca="false">-People!F119</f>
        <v>-46895.93</v>
      </c>
      <c r="G30" s="67" t="n">
        <f aca="false">-People!G119</f>
        <v>-46895.93</v>
      </c>
      <c r="H30" s="67" t="n">
        <f aca="false">-People!H119</f>
        <v>-45328.705</v>
      </c>
      <c r="I30" s="67" t="n">
        <f aca="false">-People!I119</f>
        <v>-46504.12375</v>
      </c>
      <c r="J30" s="67" t="n">
        <f aca="false">-People!J119</f>
        <v>-45328.705</v>
      </c>
      <c r="K30" s="67" t="n">
        <f aca="false">-People!K119</f>
        <v>-43369.67375</v>
      </c>
      <c r="L30" s="67" t="n">
        <f aca="false">-People!L119</f>
        <v>-40235.22375</v>
      </c>
      <c r="M30" s="67" t="n">
        <f aca="false">-People!M119</f>
        <v>-45339.50203125</v>
      </c>
      <c r="N30" s="67" t="n">
        <f aca="false">-People!N119</f>
        <v>-46117.5829114583</v>
      </c>
      <c r="O30" s="67" t="n">
        <f aca="false">-People!O119</f>
        <v>-46509.4266409252</v>
      </c>
      <c r="P30" s="67" t="n">
        <f aca="false">-People!P119</f>
        <v>-46672.7624141257</v>
      </c>
      <c r="Q30" s="67" t="n">
        <f aca="false">-People!Q119</f>
        <v>-51401.8854837283</v>
      </c>
      <c r="R30" s="67" t="n">
        <f aca="false">-People!R119</f>
        <v>-50946.6236817158</v>
      </c>
      <c r="S30" s="67" t="n">
        <f aca="false">-People!S119</f>
        <v>-50917.3408020203</v>
      </c>
      <c r="T30" s="67" t="n">
        <f aca="false">-People!T119</f>
        <v>-49216.9593734799</v>
      </c>
      <c r="U30" s="67" t="n">
        <f aca="false">-People!U119</f>
        <v>-50492.8511237518</v>
      </c>
      <c r="V30" s="67" t="n">
        <f aca="false">-People!V119</f>
        <v>-49217.1854111103</v>
      </c>
      <c r="W30" s="67" t="n">
        <f aca="false">-People!W119</f>
        <v>-47091.0841456356</v>
      </c>
      <c r="X30" s="67" t="n">
        <f aca="false">-People!X119</f>
        <v>-43689.3251921548</v>
      </c>
      <c r="Y30" s="67" t="n">
        <f aca="false">-People!Y119</f>
        <v>-49642.4034843922</v>
      </c>
      <c r="Z30" s="67" t="n">
        <f aca="false">-People!Z119</f>
        <v>-50918.0631148714</v>
      </c>
      <c r="AA30" s="67" t="n">
        <f aca="false">-People!AA119</f>
        <v>-51343.2829917955</v>
      </c>
      <c r="AB30" s="67" t="n">
        <f aca="false">-People!AB119</f>
        <v>-49217.1836065565</v>
      </c>
    </row>
    <row r="31" customFormat="false" ht="15" hidden="false" customHeight="false" outlineLevel="0" collapsed="false">
      <c r="A31" s="27" t="s">
        <v>600</v>
      </c>
      <c r="B31" s="63" t="s">
        <v>51</v>
      </c>
      <c r="C31" s="66" t="n">
        <f aca="false">SUM(E31:P31)</f>
        <v>-148995.333053221</v>
      </c>
      <c r="D31" s="66" t="n">
        <f aca="false">SUM(Q31:AB31)</f>
        <v>-146345.882352941</v>
      </c>
      <c r="E31" s="67" t="n">
        <f aca="false">-Projects!E176</f>
        <v>-3140</v>
      </c>
      <c r="F31" s="67" t="n">
        <f aca="false">-Projects!F176</f>
        <v>-4780</v>
      </c>
      <c r="G31" s="67" t="n">
        <f aca="false">-Projects!G176</f>
        <v>-8060</v>
      </c>
      <c r="H31" s="67" t="n">
        <f aca="false">-Projects!H176</f>
        <v>-13800</v>
      </c>
      <c r="I31" s="67" t="n">
        <f aca="false">-Projects!I176</f>
        <v>-16260</v>
      </c>
      <c r="J31" s="67" t="n">
        <f aca="false">-Projects!J176</f>
        <v>-17900</v>
      </c>
      <c r="K31" s="67" t="n">
        <f aca="false">-Projects!K176</f>
        <v>-17080</v>
      </c>
      <c r="L31" s="67" t="n">
        <f aca="false">-Projects!L176</f>
        <v>-11340</v>
      </c>
      <c r="M31" s="67" t="n">
        <f aca="false">-Projects!M176</f>
        <v>-11613.3333333333</v>
      </c>
      <c r="N31" s="67" t="n">
        <f aca="false">-Projects!N176</f>
        <v>-18325.0792717087</v>
      </c>
      <c r="O31" s="67" t="n">
        <f aca="false">-Projects!O176</f>
        <v>-17673.9028011205</v>
      </c>
      <c r="P31" s="67" t="n">
        <f aca="false">-Projects!P176</f>
        <v>-9023.01764705882</v>
      </c>
      <c r="Q31" s="67" t="n">
        <f aca="false">-Projects!Q176</f>
        <v>-9725.44117647059</v>
      </c>
      <c r="R31" s="67" t="n">
        <f aca="false">-Projects!R176</f>
        <v>-12281.9117647059</v>
      </c>
      <c r="S31" s="67" t="n">
        <f aca="false">-Projects!S176</f>
        <v>-13041.6176470588</v>
      </c>
      <c r="T31" s="67" t="n">
        <f aca="false">-Projects!T176</f>
        <v>-12607.5</v>
      </c>
      <c r="U31" s="67" t="n">
        <f aca="false">-Projects!U176</f>
        <v>-12064.8529411765</v>
      </c>
      <c r="V31" s="67" t="n">
        <f aca="false">-Projects!V176</f>
        <v>-13475.7352941176</v>
      </c>
      <c r="W31" s="67" t="n">
        <f aca="false">-Projects!W176</f>
        <v>-11630.7352941176</v>
      </c>
      <c r="X31" s="67" t="n">
        <f aca="false">-Projects!X176</f>
        <v>-8049.26470588235</v>
      </c>
      <c r="Y31" s="67" t="n">
        <f aca="false">-Projects!Y176</f>
        <v>-12933.0882352941</v>
      </c>
      <c r="Z31" s="67" t="n">
        <f aca="false">-Projects!Z176</f>
        <v>-14126.9117647059</v>
      </c>
      <c r="AA31" s="67" t="n">
        <f aca="false">-Projects!AA176</f>
        <v>-13475.7352941176</v>
      </c>
      <c r="AB31" s="67" t="n">
        <f aca="false">-Projects!AB176</f>
        <v>-12933.0882352941</v>
      </c>
    </row>
    <row r="32" customFormat="false" ht="15" hidden="false" customHeight="false" outlineLevel="0" collapsed="false">
      <c r="A32" s="27" t="s">
        <v>1085</v>
      </c>
      <c r="B32" s="63" t="s">
        <v>51</v>
      </c>
      <c r="C32" s="66" t="n">
        <f aca="false">SUM(E32:P32)</f>
        <v>0</v>
      </c>
      <c r="D32" s="66" t="n">
        <f aca="false">SUM(Q32:AB32)</f>
        <v>0</v>
      </c>
      <c r="E32" s="67" t="n">
        <f aca="false">-Projects!E160</f>
        <v>-0</v>
      </c>
      <c r="F32" s="67" t="n">
        <f aca="false">-Projects!F160</f>
        <v>-0</v>
      </c>
      <c r="G32" s="67" t="n">
        <f aca="false">-Projects!G160</f>
        <v>-0</v>
      </c>
      <c r="H32" s="67" t="n">
        <f aca="false">-Projects!H160</f>
        <v>-0</v>
      </c>
      <c r="I32" s="67" t="n">
        <f aca="false">-Projects!I160</f>
        <v>-0</v>
      </c>
      <c r="J32" s="67" t="n">
        <f aca="false">-Projects!J160</f>
        <v>-10147.14</v>
      </c>
      <c r="K32" s="67" t="n">
        <f aca="false">-Projects!K160</f>
        <v>4731.43</v>
      </c>
      <c r="L32" s="67" t="n">
        <f aca="false">-Projects!L160</f>
        <v>2908.57</v>
      </c>
      <c r="M32" s="67" t="n">
        <f aca="false">-Projects!M160</f>
        <v>835.711428571449</v>
      </c>
      <c r="N32" s="67" t="n">
        <f aca="false">-Projects!N160</f>
        <v>835.714285714257</v>
      </c>
      <c r="O32" s="67" t="n">
        <f aca="false">-Projects!O160</f>
        <v>835.714285714294</v>
      </c>
      <c r="P32" s="67" t="n">
        <f aca="false">-Projects!P160</f>
        <v>-0</v>
      </c>
      <c r="Q32" s="67" t="n">
        <f aca="false">-Projects!Q160</f>
        <v>-0</v>
      </c>
      <c r="R32" s="67" t="n">
        <f aca="false">-Projects!R160</f>
        <v>-0</v>
      </c>
      <c r="S32" s="67" t="n">
        <f aca="false">-Projects!S160</f>
        <v>-0</v>
      </c>
      <c r="T32" s="67" t="n">
        <f aca="false">-Projects!T160</f>
        <v>-0</v>
      </c>
      <c r="U32" s="67" t="n">
        <f aca="false">-Projects!U160</f>
        <v>-0</v>
      </c>
      <c r="V32" s="67" t="n">
        <f aca="false">-Projects!V160</f>
        <v>-0</v>
      </c>
      <c r="W32" s="67" t="n">
        <f aca="false">-Projects!W160</f>
        <v>-0</v>
      </c>
      <c r="X32" s="67" t="n">
        <f aca="false">-Projects!X160</f>
        <v>-0</v>
      </c>
      <c r="Y32" s="67" t="n">
        <f aca="false">-Projects!Y160</f>
        <v>-0</v>
      </c>
      <c r="Z32" s="67" t="n">
        <f aca="false">-Projects!Z160</f>
        <v>-0</v>
      </c>
      <c r="AA32" s="67" t="n">
        <f aca="false">-Projects!AA160</f>
        <v>-0</v>
      </c>
      <c r="AB32" s="67" t="n">
        <f aca="false">-Projects!AB160</f>
        <v>-0</v>
      </c>
    </row>
    <row r="33" customFormat="false" ht="15" hidden="false" customHeight="false" outlineLevel="0" collapsed="false">
      <c r="A33" s="59" t="s">
        <v>1086</v>
      </c>
      <c r="B33" s="60"/>
      <c r="C33" s="61" t="n">
        <f aca="false">SUM(E33:P33)</f>
        <v>231289.463603781</v>
      </c>
      <c r="D33" s="61" t="n">
        <f aca="false">SUM(Q33:AB33)</f>
        <v>337759.929235847</v>
      </c>
      <c r="E33" s="61" t="n">
        <f aca="false">E29+E30+E31+E32</f>
        <v>3599.48</v>
      </c>
      <c r="F33" s="61" t="n">
        <f aca="false">F29+F30+F31+F32</f>
        <v>16965.5</v>
      </c>
      <c r="G33" s="61" t="n">
        <f aca="false">G29+G30+G31+G32</f>
        <v>36714.23</v>
      </c>
      <c r="H33" s="61" t="n">
        <f aca="false">H29+H30+H31+H32</f>
        <v>36922.595</v>
      </c>
      <c r="I33" s="61" t="n">
        <f aca="false">I29+I30+I31+I32</f>
        <v>25884.98625</v>
      </c>
      <c r="J33" s="61" t="n">
        <f aca="false">J29+J30+J31+J32</f>
        <v>-43522.235</v>
      </c>
      <c r="K33" s="61" t="n">
        <f aca="false">K29+K30+K31+K32</f>
        <v>15405.46625</v>
      </c>
      <c r="L33" s="61" t="n">
        <f aca="false">L29+L30+L31+L32</f>
        <v>-9894.88375</v>
      </c>
      <c r="M33" s="61" t="n">
        <f aca="false">M29+M30+M31+M32</f>
        <v>33964.66796875</v>
      </c>
      <c r="N33" s="61" t="n">
        <f aca="false">N29+N30+N31+N32</f>
        <v>40793.0521025472</v>
      </c>
      <c r="O33" s="61" t="n">
        <f aca="false">O29+O30+O31+O32</f>
        <v>35652.3848436686</v>
      </c>
      <c r="P33" s="61" t="n">
        <f aca="false">P29+P30+P31+P32</f>
        <v>38804.2199388155</v>
      </c>
      <c r="Q33" s="61" t="n">
        <f aca="false">Q29+Q30+Q31+Q32</f>
        <v>24372.6733398011</v>
      </c>
      <c r="R33" s="61" t="n">
        <f aca="false">R29+R30+R31+R32</f>
        <v>25871.4645535783</v>
      </c>
      <c r="S33" s="61" t="n">
        <f aca="false">S29+S30+S31+S32</f>
        <v>31441.0415509209</v>
      </c>
      <c r="T33" s="61" t="n">
        <f aca="false">T29+T30+T31+T32</f>
        <v>29975.5406265201</v>
      </c>
      <c r="U33" s="61" t="n">
        <f aca="false">U29+U30+U31+U32</f>
        <v>24742.2959350718</v>
      </c>
      <c r="V33" s="61" t="n">
        <f aca="false">V29+V30+V31+V32</f>
        <v>36307.0792947721</v>
      </c>
      <c r="W33" s="61" t="n">
        <f aca="false">W29+W30+W31+W32</f>
        <v>24978.1805602468</v>
      </c>
      <c r="X33" s="61" t="n">
        <f aca="false">X29+X30+X31+X32</f>
        <v>2261.41010196281</v>
      </c>
      <c r="Y33" s="61" t="n">
        <f aca="false">Y29+Y30+Y31+Y32</f>
        <v>31924.5082803136</v>
      </c>
      <c r="Z33" s="61" t="n">
        <f aca="false">Z29+Z30+Z31+Z32</f>
        <v>39355.0251204228</v>
      </c>
      <c r="AA33" s="61" t="n">
        <f aca="false">AA29+AA30+AA31+AA32</f>
        <v>34180.9817140869</v>
      </c>
      <c r="AB33" s="61" t="n">
        <f aca="false">AB29+AB30+AB31+AB32</f>
        <v>32349.7281581494</v>
      </c>
    </row>
    <row r="34" customFormat="false" ht="15" hidden="false" customHeight="false" outlineLevel="0" collapsed="false">
      <c r="A34" s="27" t="s">
        <v>376</v>
      </c>
      <c r="B34" s="63"/>
      <c r="C34" s="65" t="n">
        <f aca="false">IF(C29=0,0,C33/C29)</f>
        <v>0.250504414241176</v>
      </c>
      <c r="D34" s="65" t="n">
        <f aca="false">IF(D29=0,0,D33/D29)</f>
        <v>0.313262779851462</v>
      </c>
      <c r="E34" s="79" t="n">
        <f aca="false">IF(E29=0,0,E33/E29)</f>
        <v>0.0712034005326784</v>
      </c>
      <c r="F34" s="79" t="n">
        <f aca="false">IF(F29=0,0,F33/F29)</f>
        <v>0.247161226099165</v>
      </c>
      <c r="G34" s="79" t="n">
        <f aca="false">IF(G29=0,0,G33/G29)</f>
        <v>0.400503609898794</v>
      </c>
      <c r="H34" s="79" t="n">
        <f aca="false">IF(H29=0,0,H33/H29)</f>
        <v>0.384404948189145</v>
      </c>
      <c r="I34" s="79" t="n">
        <f aca="false">IF(I29=0,0,I33/I29)</f>
        <v>0.291993752108735</v>
      </c>
      <c r="J34" s="79" t="n">
        <f aca="false">IF(J29=0,0,J33/J29)</f>
        <v>-1.45785501317931</v>
      </c>
      <c r="K34" s="79" t="n">
        <f aca="false">IF(K29=0,0,K33/K29)</f>
        <v>0.216600993536473</v>
      </c>
      <c r="L34" s="79" t="n">
        <f aca="false">IF(L29=0,0,L33/L29)</f>
        <v>-0.25520846094981</v>
      </c>
      <c r="M34" s="79" t="n">
        <f aca="false">IF(M29=0,0,M33/M29)</f>
        <v>0.37704254378797</v>
      </c>
      <c r="N34" s="79" t="n">
        <f aca="false">IF(N29=0,0,N33/N29)</f>
        <v>0.390738046959265</v>
      </c>
      <c r="O34" s="79" t="n">
        <f aca="false">IF(O29=0,0,O33/O29)</f>
        <v>0.360125099430996</v>
      </c>
      <c r="P34" s="79" t="n">
        <f aca="false">IF(P29=0,0,P33/P29)</f>
        <v>0.410626666019211</v>
      </c>
      <c r="Q34" s="79" t="n">
        <f aca="false">IF(Q29=0,0,Q33/Q29)</f>
        <v>0.285060506898258</v>
      </c>
      <c r="R34" s="79" t="n">
        <f aca="false">IF(R29=0,0,R33/R29)</f>
        <v>0.290364360870688</v>
      </c>
      <c r="S34" s="79" t="n">
        <f aca="false">IF(S29=0,0,S33/S29)</f>
        <v>0.329570666152211</v>
      </c>
      <c r="T34" s="79" t="n">
        <f aca="false">IF(T29=0,0,T33/T29)</f>
        <v>0.32653094364401</v>
      </c>
      <c r="U34" s="79" t="n">
        <f aca="false">IF(U29=0,0,U33/U29)</f>
        <v>0.283416906472758</v>
      </c>
      <c r="V34" s="79" t="n">
        <f aca="false">IF(V29=0,0,V33/V29)</f>
        <v>0.366738174694668</v>
      </c>
      <c r="W34" s="79" t="n">
        <f aca="false">IF(W29=0,0,W33/W29)</f>
        <v>0.298425096299245</v>
      </c>
      <c r="X34" s="79" t="n">
        <f aca="false">IF(X29=0,0,X33/X29)</f>
        <v>0.0418779648511631</v>
      </c>
      <c r="Y34" s="79" t="n">
        <f aca="false">IF(Y29=0,0,Y33/Y29)</f>
        <v>0.337825484447763</v>
      </c>
      <c r="Z34" s="79" t="n">
        <f aca="false">IF(Z29=0,0,Z33/Z29)</f>
        <v>0.376963842149643</v>
      </c>
      <c r="AA34" s="79" t="n">
        <f aca="false">IF(AA29=0,0,AA33/AA29)</f>
        <v>0.345262441556433</v>
      </c>
      <c r="AB34" s="79" t="n">
        <f aca="false">IF(AB29=0,0,AB33/AB29)</f>
        <v>0.342325165694702</v>
      </c>
    </row>
    <row r="35" customFormat="false" ht="15" hidden="false" customHeight="false" outlineLevel="0" collapsed="false">
      <c r="A35" s="21" t="s">
        <v>1087</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row>
    <row r="36" customFormat="false" ht="15" hidden="false" customHeight="false" outlineLevel="0" collapsed="false">
      <c r="A36" s="59" t="s">
        <v>420</v>
      </c>
      <c r="B36" s="60" t="s">
        <v>1088</v>
      </c>
      <c r="C36" s="61" t="n">
        <f aca="false">SUM(E36:P36)</f>
        <v>2055974.04404518</v>
      </c>
      <c r="D36" s="61" t="n">
        <f aca="false">SUM(Q36:AB36)</f>
        <v>2336710.35743467</v>
      </c>
      <c r="E36" s="61" t="n">
        <f aca="false">E15+E21+E26+E33</f>
        <v>141215.811078235</v>
      </c>
      <c r="F36" s="61" t="n">
        <f aca="false">F15+F21+F26+F33</f>
        <v>154221.114893978</v>
      </c>
      <c r="G36" s="61" t="n">
        <f aca="false">G15+G21+G26+G33</f>
        <v>185472.280816397</v>
      </c>
      <c r="H36" s="61" t="n">
        <f aca="false">H15+H21+H26+H33</f>
        <v>185947.432132958</v>
      </c>
      <c r="I36" s="61" t="n">
        <f aca="false">I15+I21+I26+I33</f>
        <v>173194.414275766</v>
      </c>
      <c r="J36" s="61" t="n">
        <f aca="false">J15+J21+J26+J33</f>
        <v>113382.768274864</v>
      </c>
      <c r="K36" s="61" t="n">
        <f aca="false">K15+K21+K26+K33</f>
        <v>167597.077173282</v>
      </c>
      <c r="L36" s="61" t="n">
        <f aca="false">L15+L21+L26+L33</f>
        <v>139295.988216967</v>
      </c>
      <c r="M36" s="61" t="n">
        <f aca="false">M15+M21+M26+M33</f>
        <v>195862.789584994</v>
      </c>
      <c r="N36" s="61" t="n">
        <f aca="false">N15+N21+N26+N33</f>
        <v>204212.59220893</v>
      </c>
      <c r="O36" s="61" t="n">
        <f aca="false">O15+O21+O26+O33</f>
        <v>192657.01503343</v>
      </c>
      <c r="P36" s="61" t="n">
        <f aca="false">P15+P21+P26+P33</f>
        <v>202914.760355384</v>
      </c>
      <c r="Q36" s="61" t="n">
        <f aca="false">Q15+Q21+Q26+Q33</f>
        <v>182945.964673014</v>
      </c>
      <c r="R36" s="61" t="n">
        <f aca="false">R15+R21+R26+R33</f>
        <v>185867.675806411</v>
      </c>
      <c r="S36" s="61" t="n">
        <f aca="false">S15+S21+S26+S33</f>
        <v>195942.755277364</v>
      </c>
      <c r="T36" s="61" t="n">
        <f aca="false">T15+T21+T26+T33</f>
        <v>194494.661340505</v>
      </c>
      <c r="U36" s="61" t="n">
        <f aca="false">U15+U21+U26+U33</f>
        <v>188522.945651021</v>
      </c>
      <c r="V36" s="61" t="n">
        <f aca="false">V15+V21+V26+V33</f>
        <v>205579.748719516</v>
      </c>
      <c r="W36" s="61" t="n">
        <f aca="false">W15+W21+W26+W33</f>
        <v>193296.349454729</v>
      </c>
      <c r="X36" s="61" t="n">
        <f aca="false">X15+X21+X26+X33</f>
        <v>166104.817599747</v>
      </c>
      <c r="Y36" s="61" t="n">
        <f aca="false">Y15+Y21+Y26+Y33</f>
        <v>204885.470647311</v>
      </c>
      <c r="Z36" s="61" t="n">
        <f aca="false">Z15+Z21+Z26+Z33</f>
        <v>212850.595521298</v>
      </c>
      <c r="AA36" s="61" t="n">
        <f aca="false">AA15+AA21+AA26+AA33</f>
        <v>201719.255066092</v>
      </c>
      <c r="AB36" s="61" t="n">
        <f aca="false">AB15+AB21+AB26+AB33</f>
        <v>204500.117677662</v>
      </c>
    </row>
    <row r="37" customFormat="false" ht="15" hidden="false" customHeight="false" outlineLevel="0" collapsed="false">
      <c r="A37" s="27" t="s">
        <v>1089</v>
      </c>
      <c r="B37" s="63"/>
      <c r="C37" s="66" t="n">
        <f aca="false">SUM(E37:P37)</f>
        <v>0</v>
      </c>
      <c r="D37" s="66" t="n">
        <f aca="false">SUM(Q37:AB37)</f>
        <v>0</v>
      </c>
      <c r="E37" s="67" t="n">
        <f aca="false">ROUND(E36-PL!E29,2)</f>
        <v>0</v>
      </c>
      <c r="F37" s="67" t="n">
        <f aca="false">ROUND(F36-PL!F29,2)</f>
        <v>0</v>
      </c>
      <c r="G37" s="67" t="n">
        <f aca="false">ROUND(G36-PL!G29,2)</f>
        <v>0</v>
      </c>
      <c r="H37" s="67" t="n">
        <f aca="false">ROUND(H36-PL!H29,2)</f>
        <v>0</v>
      </c>
      <c r="I37" s="67" t="n">
        <f aca="false">ROUND(I36-PL!I29,2)</f>
        <v>0</v>
      </c>
      <c r="J37" s="67" t="n">
        <f aca="false">ROUND(J36-PL!J29,2)</f>
        <v>0</v>
      </c>
      <c r="K37" s="67" t="n">
        <f aca="false">ROUND(K36-PL!K29,2)</f>
        <v>0</v>
      </c>
      <c r="L37" s="67" t="n">
        <f aca="false">ROUND(L36-PL!L29,2)</f>
        <v>0</v>
      </c>
      <c r="M37" s="67" t="n">
        <f aca="false">ROUND(M36-PL!M29,2)</f>
        <v>0</v>
      </c>
      <c r="N37" s="67" t="n">
        <f aca="false">ROUND(N36-PL!N29,2)</f>
        <v>0</v>
      </c>
      <c r="O37" s="67" t="n">
        <f aca="false">ROUND(O36-PL!O29,2)</f>
        <v>0</v>
      </c>
      <c r="P37" s="67" t="n">
        <f aca="false">ROUND(P36-PL!P29,2)</f>
        <v>0</v>
      </c>
      <c r="Q37" s="67" t="n">
        <f aca="false">ROUND(Q36-PL!Q29,2)</f>
        <v>0</v>
      </c>
      <c r="R37" s="67" t="n">
        <f aca="false">ROUND(R36-PL!R29,2)</f>
        <v>0</v>
      </c>
      <c r="S37" s="67" t="n">
        <f aca="false">ROUND(S36-PL!S29,2)</f>
        <v>0</v>
      </c>
      <c r="T37" s="67" t="n">
        <f aca="false">ROUND(T36-PL!T29,2)</f>
        <v>0</v>
      </c>
      <c r="U37" s="67" t="n">
        <f aca="false">ROUND(U36-PL!U29,2)</f>
        <v>0</v>
      </c>
      <c r="V37" s="67" t="n">
        <f aca="false">ROUND(V36-PL!V29,2)</f>
        <v>0</v>
      </c>
      <c r="W37" s="67" t="n">
        <f aca="false">ROUND(W36-PL!W29,2)</f>
        <v>0</v>
      </c>
      <c r="X37" s="67" t="n">
        <f aca="false">ROUND(X36-PL!X29,2)</f>
        <v>0</v>
      </c>
      <c r="Y37" s="67" t="n">
        <f aca="false">ROUND(Y36-PL!Y29,2)</f>
        <v>0</v>
      </c>
      <c r="Z37" s="67" t="n">
        <f aca="false">ROUND(Z36-PL!Z29,2)</f>
        <v>0</v>
      </c>
      <c r="AA37" s="67" t="n">
        <f aca="false">ROUND(AA36-PL!AA29,2)</f>
        <v>0</v>
      </c>
      <c r="AB37" s="67" t="n">
        <f aca="false">ROUND(AB36-PL!AB29,2)</f>
        <v>0</v>
      </c>
    </row>
    <row r="38" customFormat="false" ht="15" hidden="false" customHeight="false" outlineLevel="0" collapsed="false">
      <c r="A38" s="27" t="s">
        <v>1090</v>
      </c>
      <c r="B38" s="63"/>
      <c r="C38" s="65" t="n">
        <f aca="false">IF(C36=0,0,C15/C36)</f>
        <v>0.614015243873839</v>
      </c>
      <c r="D38" s="65" t="n">
        <f aca="false">IF(D36=0,0,D15/D36)</f>
        <v>0.615989957377106</v>
      </c>
      <c r="E38" s="79" t="n">
        <f aca="false">IF(E36=0,0,E15/E36)</f>
        <v>0.641620783234858</v>
      </c>
      <c r="F38" s="79" t="n">
        <f aca="false">IF(F36=0,0,F15/F36)</f>
        <v>0.604320396217175</v>
      </c>
      <c r="G38" s="79" t="n">
        <f aca="false">IF(G36=0,0,G15/G36)</f>
        <v>0.533914400221173</v>
      </c>
      <c r="H38" s="79" t="n">
        <f aca="false">IF(H36=0,0,H15/H36)</f>
        <v>0.56146130297223</v>
      </c>
      <c r="I38" s="79" t="n">
        <f aca="false">IF(I36=0,0,I15/I36)</f>
        <v>0.581569724105217</v>
      </c>
      <c r="J38" s="79" t="n">
        <f aca="false">IF(J36=0,0,J15/J36)</f>
        <v>0.938313513357361</v>
      </c>
      <c r="K38" s="79" t="n">
        <f aca="false">IF(K36=0,0,K15/K36)</f>
        <v>0.64764489020916</v>
      </c>
      <c r="L38" s="79" t="n">
        <f aca="false">IF(L36=0,0,L15/L36)</f>
        <v>0.853526894487733</v>
      </c>
      <c r="M38" s="79" t="n">
        <f aca="false">IF(M36=0,0,M15/M36)</f>
        <v>0.557455941925423</v>
      </c>
      <c r="N38" s="79" t="n">
        <f aca="false">IF(N36=0,0,N15/N36)</f>
        <v>0.528824027710956</v>
      </c>
      <c r="O38" s="79" t="n">
        <f aca="false">IF(O36=0,0,O15/O36)</f>
        <v>0.557694016365192</v>
      </c>
      <c r="P38" s="79" t="n">
        <f aca="false">IF(P36=0,0,P15/P36)</f>
        <v>0.57164047626188</v>
      </c>
      <c r="Q38" s="79" t="n">
        <f aca="false">IF(Q36=0,0,Q15/Q36)</f>
        <v>0.612341189631283</v>
      </c>
      <c r="R38" s="79" t="n">
        <f aca="false">IF(R36=0,0,R15/R36)</f>
        <v>0.629206616691051</v>
      </c>
      <c r="S38" s="79" t="n">
        <f aca="false">IF(S36=0,0,S15/S36)</f>
        <v>0.591984175310611</v>
      </c>
      <c r="T38" s="79" t="n">
        <f aca="false">IF(T36=0,0,T15/T36)</f>
        <v>0.618895516050858</v>
      </c>
      <c r="U38" s="79" t="n">
        <f aca="false">IF(U36=0,0,U15/U36)</f>
        <v>0.625574799818955</v>
      </c>
      <c r="V38" s="79" t="n">
        <f aca="false">IF(V36=0,0,V15/V36)</f>
        <v>0.579112042675993</v>
      </c>
      <c r="W38" s="79" t="n">
        <f aca="false">IF(W36=0,0,W15/W36)</f>
        <v>0.64867847969958</v>
      </c>
      <c r="X38" s="79" t="n">
        <f aca="false">IF(X36=0,0,X15/X36)</f>
        <v>0.799408239796151</v>
      </c>
      <c r="Y38" s="79" t="n">
        <f aca="false">IF(Y36=0,0,Y15/Y36)</f>
        <v>0.5849342649617</v>
      </c>
      <c r="Z38" s="79" t="n">
        <f aca="false">IF(Z36=0,0,Z15/Z36)</f>
        <v>0.553089665205726</v>
      </c>
      <c r="AA38" s="79" t="n">
        <f aca="false">IF(AA36=0,0,AA15/AA36)</f>
        <v>0.583170297047862</v>
      </c>
      <c r="AB38" s="79" t="n">
        <f aca="false">IF(AB36=0,0,AB15/AB36)</f>
        <v>0.604793683043298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8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1091</v>
      </c>
    </row>
    <row r="3" customFormat="false" ht="15" hidden="false" customHeight="false" outlineLevel="0" collapsed="false">
      <c r="A3" s="50" t="s">
        <v>1092</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1093</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1094</v>
      </c>
      <c r="B9" s="63" t="s">
        <v>1095</v>
      </c>
      <c r="C9" s="74" t="n">
        <f aca="false">P9</f>
        <v>14.6687982223225</v>
      </c>
      <c r="D9" s="74" t="n">
        <f aca="false">AB9</f>
        <v>16.6123778503247</v>
      </c>
      <c r="E9" s="75" t="n">
        <f aca="false">IF(E$5="A",Inputs_Actuals!E222,Assumptions!$E$61+0*Assumptions!$F$188-E30)</f>
        <v>12</v>
      </c>
      <c r="F9" s="75" t="n">
        <f aca="false">IF(F$5="A",Inputs_Actuals!F222,E9+0*Assumptions!$F$188-F30)</f>
        <v>12</v>
      </c>
      <c r="G9" s="75" t="n">
        <f aca="false">IF(G$5="A",Inputs_Actuals!G222,F9+0*Assumptions!$F$188-G30+IF(E$5="F",E30,0)*Assumptions!$F$189)</f>
        <v>12</v>
      </c>
      <c r="H9" s="75" t="n">
        <f aca="false">IF(H$5="A",Inputs_Actuals!H222,G9+0*Assumptions!$F$188-H30+IF(F$5="F",F30,0)*Assumptions!$F$189)</f>
        <v>12</v>
      </c>
      <c r="I9" s="75" t="n">
        <f aca="false">IF(I$5="A",Inputs_Actuals!I222,H9+0*Assumptions!$F$188-I30+IF(G$5="F",G30,0)*Assumptions!$F$189)</f>
        <v>12</v>
      </c>
      <c r="J9" s="75" t="n">
        <f aca="false">IF(J$5="A",Inputs_Actuals!J222,I9+0*Assumptions!$F$188-J30+IF(H$5="F",H30,0)*Assumptions!$F$189)</f>
        <v>12</v>
      </c>
      <c r="K9" s="75" t="n">
        <f aca="false">IF(K$5="A",Inputs_Actuals!K222,J9+0*Assumptions!$F$188-K30+IF(I$5="F",I30,0)*Assumptions!$F$189)</f>
        <v>13</v>
      </c>
      <c r="L9" s="75" t="n">
        <f aca="false">IF(L$5="A",Inputs_Actuals!L222,K9+0*Assumptions!$F$188-L30+IF(J$5="F",J30,0)*Assumptions!$F$189)</f>
        <v>13</v>
      </c>
      <c r="M9" s="75" t="n">
        <f aca="false">IF(M$5="A",Inputs_Actuals!M222,L9+0*Assumptions!$F$188-M30+IF(K$5="F",K30,0)*Assumptions!$F$189)</f>
        <v>12.8483333333333</v>
      </c>
      <c r="N9" s="75" t="n">
        <f aca="false">IF(N$5="A",Inputs_Actuals!N222,M9+1*Assumptions!$F$188-N30+IF(L$5="F",L30,0)*Assumptions!$F$189)</f>
        <v>13.6984361111111</v>
      </c>
      <c r="O9" s="75" t="n">
        <f aca="false">IF(O$5="A",Inputs_Actuals!O222,N9+1*Assumptions!$F$188-O30+IF(M$5="F",M30,0)*Assumptions!$F$189)</f>
        <v>14.6902876898148</v>
      </c>
      <c r="P9" s="75" t="n">
        <f aca="false">IF(P$5="A",Inputs_Actuals!P222,O9+0*Assumptions!$F$188-P30+IF(N$5="F",N30,0)*Assumptions!$F$189)</f>
        <v>14.6687982223225</v>
      </c>
      <c r="Q9" s="75" t="n">
        <f aca="false">IF(Q$5="A",Inputs_Actuals!Q222,P9+1*Assumptions!$F$188-Q30+IF(O$5="F",O30,0)*Assumptions!$F$189)</f>
        <v>15.6574773310251</v>
      </c>
      <c r="R9" s="75" t="n">
        <f aca="false">IF(R$5="A",Inputs_Actuals!R222,Q9+0*Assumptions!$F$188-R30+IF(P$5="F",P30,0)*Assumptions!$F$189)</f>
        <v>15.6461934518776</v>
      </c>
      <c r="S9" s="75" t="n">
        <f aca="false">IF(S$5="A",Inputs_Actuals!S222,R9+1*Assumptions!$F$188-S30+IF(Q$5="F",Q30,0)*Assumptions!$F$189)</f>
        <v>16.6347905075328</v>
      </c>
      <c r="T9" s="75" t="n">
        <f aca="false">IF(T$5="A",Inputs_Actuals!T222,S9+0*Assumptions!$F$188-T30+IF(R$5="F",R30,0)*Assumptions!$F$189)</f>
        <v>16.6233885204735</v>
      </c>
      <c r="U9" s="75" t="n">
        <f aca="false">IF(U$5="A",Inputs_Actuals!U222,T9+0*Assumptions!$F$188-U30+IF(S$5="F",S30,0)*Assumptions!$F$189)</f>
        <v>16.6119879113399</v>
      </c>
      <c r="V9" s="75" t="n">
        <f aca="false">IF(V$5="A",Inputs_Actuals!V222,U9+0*Assumptions!$F$188-V30+IF(T$5="F",T30,0)*Assumptions!$F$189)</f>
        <v>16.6122539416288</v>
      </c>
      <c r="W9" s="75" t="n">
        <f aca="false">IF(W$5="A",Inputs_Actuals!W222,V9+0*Assumptions!$F$188-W30+IF(U$5="F",U30,0)*Assumptions!$F$189)</f>
        <v>16.6123838450487</v>
      </c>
      <c r="X9" s="75" t="n">
        <f aca="false">IF(X$5="A",Inputs_Actuals!X222,W9+0*Assumptions!$F$188-X30+IF(V$5="F",V30,0)*Assumptions!$F$189)</f>
        <v>16.6123792258221</v>
      </c>
      <c r="Y9" s="75" t="n">
        <f aca="false">IF(Y$5="A",Inputs_Actuals!Y222,X9+0*Assumptions!$F$188-Y30+IF(W$5="F",W30,0)*Assumptions!$F$189)</f>
        <v>16.6123777641732</v>
      </c>
      <c r="Z9" s="75" t="n">
        <f aca="false">IF(Z$5="A",Inputs_Actuals!Z222,Y9+0*Assumptions!$F$188-Z30+IF(X$5="F",X30,0)*Assumptions!$F$189)</f>
        <v>16.6123778351167</v>
      </c>
      <c r="AA9" s="75" t="n">
        <f aca="false">IF(AA$5="A",Inputs_Actuals!AA222,Z9+0*Assumptions!$F$188-AA30+IF(Y$5="F",Y30,0)*Assumptions!$F$189)</f>
        <v>16.6123778513416</v>
      </c>
      <c r="AB9" s="75" t="n">
        <f aca="false">IF(AB$5="A",Inputs_Actuals!AB222,AA9+0*Assumptions!$F$188-AB30+IF(Z$5="F",Z30,0)*Assumptions!$F$189)</f>
        <v>16.6123778503247</v>
      </c>
    </row>
    <row r="10" customFormat="false" ht="15" hidden="false" customHeight="false" outlineLevel="0" collapsed="false">
      <c r="A10" s="27" t="s">
        <v>1096</v>
      </c>
      <c r="B10" s="63" t="s">
        <v>1095</v>
      </c>
      <c r="C10" s="74" t="n">
        <f aca="false">P10</f>
        <v>11.7256533334105</v>
      </c>
      <c r="D10" s="74" t="n">
        <f aca="false">AB10</f>
        <v>12.7035829747225</v>
      </c>
      <c r="E10" s="75" t="n">
        <f aca="false">IF(E$5="A",Inputs_Actuals!E223,Assumptions!$E$62+0*Assumptions!$F$188-E31)</f>
        <v>12</v>
      </c>
      <c r="F10" s="75" t="n">
        <f aca="false">IF(F$5="A",Inputs_Actuals!F223,E10+0*Assumptions!$F$188-F31)</f>
        <v>12</v>
      </c>
      <c r="G10" s="75" t="n">
        <f aca="false">IF(G$5="A",Inputs_Actuals!G223,F10+0*Assumptions!$F$188-G31+IF(E$5="F",E31,0)*Assumptions!$F$189)</f>
        <v>12</v>
      </c>
      <c r="H10" s="75" t="n">
        <f aca="false">IF(H$5="A",Inputs_Actuals!H223,G10+0*Assumptions!$F$188-H31+IF(F$5="F",F31,0)*Assumptions!$F$189)</f>
        <v>11</v>
      </c>
      <c r="I10" s="75" t="n">
        <f aca="false">IF(I$5="A",Inputs_Actuals!I223,H10+0*Assumptions!$F$188-I31+IF(G$5="F",G31,0)*Assumptions!$F$189)</f>
        <v>10</v>
      </c>
      <c r="J10" s="75" t="n">
        <f aca="false">IF(J$5="A",Inputs_Actuals!J223,I10+0*Assumptions!$F$188-J31+IF(H$5="F",H31,0)*Assumptions!$F$189)</f>
        <v>10</v>
      </c>
      <c r="K10" s="75" t="n">
        <f aca="false">IF(K$5="A",Inputs_Actuals!K223,J10+0*Assumptions!$F$188-K31+IF(I$5="F",I31,0)*Assumptions!$F$189)</f>
        <v>10</v>
      </c>
      <c r="L10" s="75" t="n">
        <f aca="false">IF(L$5="A",Inputs_Actuals!L223,K10+0*Assumptions!$F$188-L31+IF(J$5="F",J31,0)*Assumptions!$F$189)</f>
        <v>10</v>
      </c>
      <c r="M10" s="75" t="n">
        <f aca="false">IF(M$5="A",Inputs_Actuals!M223,L10+0*Assumptions!$F$188-M31+IF(K$5="F",K31,0)*Assumptions!$F$189)</f>
        <v>9.88333333333333</v>
      </c>
      <c r="N10" s="75" t="n">
        <f aca="false">IF(N$5="A",Inputs_Actuals!N223,M10+2*Assumptions!$F$188-N31+IF(L$5="F",L31,0)*Assumptions!$F$189)</f>
        <v>11.7680277777778</v>
      </c>
      <c r="O10" s="75" t="n">
        <f aca="false">IF(O$5="A",Inputs_Actuals!O223,N10+0*Assumptions!$F$188-O31+IF(M$5="F",M31,0)*Assumptions!$F$189)</f>
        <v>11.747400787037</v>
      </c>
      <c r="P10" s="75" t="n">
        <f aca="false">IF(P$5="A",Inputs_Actuals!P223,O10+0*Assumptions!$F$188-P31+IF(N$5="F",N31,0)*Assumptions!$F$189)</f>
        <v>11.7256533334105</v>
      </c>
      <c r="Q10" s="75" t="n">
        <f aca="false">IF(Q$5="A",Inputs_Actuals!Q223,P10+0*Assumptions!$F$188-Q31+IF(O$5="F",O31,0)*Assumptions!$F$189)</f>
        <v>11.7261477019281</v>
      </c>
      <c r="R10" s="75" t="n">
        <f aca="false">IF(R$5="A",Inputs_Actuals!R223,Q10+0*Assumptions!$F$188-R31+IF(P$5="F",P31,0)*Assumptions!$F$189)</f>
        <v>11.7263956545877</v>
      </c>
      <c r="S10" s="75" t="n">
        <f aca="false">IF(S$5="A",Inputs_Actuals!S223,R10+0*Assumptions!$F$188-S31+IF(Q$5="F",Q31,0)*Assumptions!$F$189)</f>
        <v>11.726386994174</v>
      </c>
      <c r="T10" s="75" t="n">
        <f aca="false">IF(T$5="A",Inputs_Actuals!T223,S10+0*Assumptions!$F$188-T31+IF(R$5="F",R31,0)*Assumptions!$F$189)</f>
        <v>11.7263842024311</v>
      </c>
      <c r="U10" s="75" t="n">
        <f aca="false">IF(U$5="A",Inputs_Actuals!U223,T10+0*Assumptions!$F$188-U31+IF(S$5="F",S31,0)*Assumptions!$F$189)</f>
        <v>11.7263843360396</v>
      </c>
      <c r="V10" s="75" t="n">
        <f aca="false">IF(V$5="A",Inputs_Actuals!V223,U10+1*Assumptions!$F$188-V31+IF(T$5="F",T31,0)*Assumptions!$F$189)</f>
        <v>12.7263843670512</v>
      </c>
      <c r="W10" s="75" t="n">
        <f aca="false">IF(W$5="A",Inputs_Actuals!W223,V10+0*Assumptions!$F$188-W31+IF(U$5="F",U31,0)*Assumptions!$F$189)</f>
        <v>12.7147176984639</v>
      </c>
      <c r="X10" s="75" t="n">
        <f aca="false">IF(X$5="A",Inputs_Actuals!X223,W10+0*Assumptions!$F$188-X31+IF(V$5="F",V31,0)*Assumptions!$F$189)</f>
        <v>12.703187142569</v>
      </c>
      <c r="Y10" s="75" t="n">
        <f aca="false">IF(Y$5="A",Inputs_Actuals!Y223,X10+0*Assumptions!$F$188-Y31+IF(W$5="F",W31,0)*Assumptions!$F$189)</f>
        <v>12.7034577768546</v>
      </c>
      <c r="Z10" s="75" t="n">
        <f aca="false">IF(Z$5="A",Inputs_Actuals!Z223,Y10+0*Assumptions!$F$188-Z31+IF(X$5="F",X31,0)*Assumptions!$F$189)</f>
        <v>12.7035891426067</v>
      </c>
      <c r="AA10" s="75" t="n">
        <f aca="false">IF(AA$5="A",Inputs_Actuals!AA223,Z10+0*Assumptions!$F$188-AA31+IF(Y$5="F",Y31,0)*Assumptions!$F$189)</f>
        <v>12.7035844526063</v>
      </c>
      <c r="AB10" s="75" t="n">
        <f aca="false">IF(AB$5="A",Inputs_Actuals!AB223,AA10+0*Assumptions!$F$188-AB31+IF(Z$5="F",Z31,0)*Assumptions!$F$189)</f>
        <v>12.7035829747225</v>
      </c>
    </row>
    <row r="11" customFormat="false" ht="15" hidden="false" customHeight="false" outlineLevel="0" collapsed="false">
      <c r="A11" s="27" t="s">
        <v>1097</v>
      </c>
      <c r="B11" s="63" t="s">
        <v>1095</v>
      </c>
      <c r="C11" s="74" t="n">
        <f aca="false">P11</f>
        <v>5.8743572222608</v>
      </c>
      <c r="D11" s="74" t="n">
        <f aca="false">AB11</f>
        <v>5.86319218241044</v>
      </c>
      <c r="E11" s="75" t="n">
        <f aca="false">IF(E$5="A",Inputs_Actuals!E224,Assumptions!$E$63+0*Assumptions!$F$188-E32)</f>
        <v>6</v>
      </c>
      <c r="F11" s="75" t="n">
        <f aca="false">IF(F$5="A",Inputs_Actuals!F224,E11+0*Assumptions!$F$188-F32)</f>
        <v>6</v>
      </c>
      <c r="G11" s="75" t="n">
        <f aca="false">IF(G$5="A",Inputs_Actuals!G224,F11+0*Assumptions!$F$188-G32+IF(E$5="F",E32,0)*Assumptions!$F$189)</f>
        <v>6</v>
      </c>
      <c r="H11" s="75" t="n">
        <f aca="false">IF(H$5="A",Inputs_Actuals!H224,G11+0*Assumptions!$F$188-H32+IF(F$5="F",F32,0)*Assumptions!$F$189)</f>
        <v>6</v>
      </c>
      <c r="I11" s="75" t="n">
        <f aca="false">IF(I$5="A",Inputs_Actuals!I224,H11+0*Assumptions!$F$188-I32+IF(G$5="F",G32,0)*Assumptions!$F$189)</f>
        <v>6</v>
      </c>
      <c r="J11" s="75" t="n">
        <f aca="false">IF(J$5="A",Inputs_Actuals!J224,I11+0*Assumptions!$F$188-J32+IF(H$5="F",H32,0)*Assumptions!$F$189)</f>
        <v>5</v>
      </c>
      <c r="K11" s="75" t="n">
        <f aca="false">IF(K$5="A",Inputs_Actuals!K224,J11+0*Assumptions!$F$188-K32+IF(I$5="F",I32,0)*Assumptions!$F$189)</f>
        <v>5</v>
      </c>
      <c r="L11" s="75" t="n">
        <f aca="false">IF(L$5="A",Inputs_Actuals!L224,K11+0*Assumptions!$F$188-L32+IF(J$5="F",J32,0)*Assumptions!$F$189)</f>
        <v>5</v>
      </c>
      <c r="M11" s="75" t="n">
        <f aca="false">IF(M$5="A",Inputs_Actuals!M224,L11+0*Assumptions!$F$188-M32+IF(K$5="F",K32,0)*Assumptions!$F$189)</f>
        <v>4.94166666666667</v>
      </c>
      <c r="N11" s="75" t="n">
        <f aca="false">IF(N$5="A",Inputs_Actuals!N224,M11+0*Assumptions!$F$188-N32+IF(L$5="F",L32,0)*Assumptions!$F$189)</f>
        <v>4.88401388888889</v>
      </c>
      <c r="O11" s="75" t="n">
        <f aca="false">IF(O$5="A",Inputs_Actuals!O224,N11+1*Assumptions!$F$188-O32+IF(M$5="F",M32,0)*Assumptions!$F$189)</f>
        <v>5.88536706018518</v>
      </c>
      <c r="P11" s="75" t="n">
        <f aca="false">IF(P$5="A",Inputs_Actuals!P224,O11+0*Assumptions!$F$188-P32+IF(N$5="F",N32,0)*Assumptions!$F$189)</f>
        <v>5.8743572222608</v>
      </c>
      <c r="Q11" s="75" t="n">
        <f aca="false">IF(Q$5="A",Inputs_Actuals!Q224,P11+0*Assumptions!$F$188-Q32+IF(O$5="F",O32,0)*Assumptions!$F$189)</f>
        <v>5.8628032167048</v>
      </c>
      <c r="R11" s="75" t="n">
        <f aca="false">IF(R$5="A",Inputs_Actuals!R224,Q11+0*Assumptions!$F$188-R32+IF(P$5="F",P32,0)*Assumptions!$F$189)</f>
        <v>5.8630664615454</v>
      </c>
      <c r="S11" s="75" t="n">
        <f aca="false">IF(S$5="A",Inputs_Actuals!S224,R11+0*Assumptions!$F$188-S32+IF(Q$5="F",Q32,0)*Assumptions!$F$189)</f>
        <v>5.86319818708708</v>
      </c>
      <c r="T11" s="75" t="n">
        <f aca="false">IF(T$5="A",Inputs_Actuals!T224,S11+0*Assumptions!$F$188-T32+IF(R$5="F",R32,0)*Assumptions!$F$189)</f>
        <v>5.86319357909929</v>
      </c>
      <c r="U11" s="75" t="n">
        <f aca="false">IF(U$5="A",Inputs_Actuals!U224,T11+0*Assumptions!$F$188-U32+IF(S$5="F",S32,0)*Assumptions!$F$189)</f>
        <v>5.86319209606116</v>
      </c>
      <c r="V11" s="75" t="n">
        <f aca="false">IF(V$5="A",Inputs_Actuals!V224,U11+0*Assumptions!$F$188-V32+IF(T$5="F",T32,0)*Assumptions!$F$189)</f>
        <v>5.86319216712313</v>
      </c>
      <c r="W11" s="75" t="n">
        <f aca="false">IF(W$5="A",Inputs_Actuals!W224,V11+0*Assumptions!$F$188-W32+IF(U$5="F",U32,0)*Assumptions!$F$189)</f>
        <v>5.86319218359618</v>
      </c>
      <c r="X11" s="75" t="n">
        <f aca="false">IF(X$5="A",Inputs_Actuals!X224,W11+0*Assumptions!$F$188-X32+IF(V$5="F",V32,0)*Assumptions!$F$189)</f>
        <v>5.86319218257494</v>
      </c>
      <c r="Y11" s="75" t="n">
        <f aca="false">IF(Y$5="A",Inputs_Actuals!Y224,X11+0*Assumptions!$F$188-Y32+IF(W$5="F",W32,0)*Assumptions!$F$189)</f>
        <v>5.86319218239467</v>
      </c>
      <c r="Z11" s="75" t="n">
        <f aca="false">IF(Z$5="A",Inputs_Actuals!Z224,Y11+0*Assumptions!$F$188-Z32+IF(X$5="F",X32,0)*Assumptions!$F$189)</f>
        <v>5.86319218240869</v>
      </c>
      <c r="AA11" s="75" t="n">
        <f aca="false">IF(AA$5="A",Inputs_Actuals!AA224,Z11+0*Assumptions!$F$188-AA32+IF(Y$5="F",Y32,0)*Assumptions!$F$189)</f>
        <v>5.86319218241063</v>
      </c>
      <c r="AB11" s="75" t="n">
        <f aca="false">IF(AB$5="A",Inputs_Actuals!AB224,AA11+0*Assumptions!$F$188-AB32+IF(Z$5="F",Z32,0)*Assumptions!$F$189)</f>
        <v>5.86319218241044</v>
      </c>
    </row>
    <row r="12" customFormat="false" ht="15" hidden="false" customHeight="false" outlineLevel="0" collapsed="false">
      <c r="A12" s="27" t="s">
        <v>1098</v>
      </c>
      <c r="B12" s="63" t="s">
        <v>1095</v>
      </c>
      <c r="C12" s="74" t="n">
        <f aca="false">P12</f>
        <v>5.86322866671296</v>
      </c>
      <c r="D12" s="74" t="n">
        <f aca="false">AB12</f>
        <v>6.8403908806732</v>
      </c>
      <c r="E12" s="75" t="n">
        <f aca="false">IF(E$5="A",Inputs_Actuals!E225,Assumptions!$E$64+0*Assumptions!$F$188-E33)</f>
        <v>6</v>
      </c>
      <c r="F12" s="75" t="n">
        <f aca="false">IF(F$5="A",Inputs_Actuals!F225,E12+0*Assumptions!$F$188-F33)</f>
        <v>6</v>
      </c>
      <c r="G12" s="75" t="n">
        <f aca="false">IF(G$5="A",Inputs_Actuals!G225,F12+0*Assumptions!$F$188-G33+IF(E$5="F",E33,0)*Assumptions!$F$189)</f>
        <v>5</v>
      </c>
      <c r="H12" s="75" t="n">
        <f aca="false">IF(H$5="A",Inputs_Actuals!H225,G12+0*Assumptions!$F$188-H33+IF(F$5="F",F33,0)*Assumptions!$F$189)</f>
        <v>5</v>
      </c>
      <c r="I12" s="75" t="n">
        <f aca="false">IF(I$5="A",Inputs_Actuals!I225,H12+0*Assumptions!$F$188-I33+IF(G$5="F",G33,0)*Assumptions!$F$189)</f>
        <v>5</v>
      </c>
      <c r="J12" s="75" t="n">
        <f aca="false">IF(J$5="A",Inputs_Actuals!J225,I12+0*Assumptions!$F$188-J33+IF(H$5="F",H33,0)*Assumptions!$F$189)</f>
        <v>6</v>
      </c>
      <c r="K12" s="75" t="n">
        <f aca="false">IF(K$5="A",Inputs_Actuals!K225,J12+0*Assumptions!$F$188-K33+IF(I$5="F",I33,0)*Assumptions!$F$189)</f>
        <v>6</v>
      </c>
      <c r="L12" s="75" t="n">
        <f aca="false">IF(L$5="A",Inputs_Actuals!L225,K12+0*Assumptions!$F$188-L33+IF(J$5="F",J33,0)*Assumptions!$F$189)</f>
        <v>6</v>
      </c>
      <c r="M12" s="75" t="n">
        <f aca="false">IF(M$5="A",Inputs_Actuals!M225,L12+0*Assumptions!$F$188-M33+IF(K$5="F",K33,0)*Assumptions!$F$189)</f>
        <v>5.93</v>
      </c>
      <c r="N12" s="75" t="n">
        <f aca="false">IF(N$5="A",Inputs_Actuals!N225,M12+0*Assumptions!$F$188-N33+IF(L$5="F",L33,0)*Assumptions!$F$189)</f>
        <v>5.86081666666667</v>
      </c>
      <c r="O12" s="75" t="n">
        <f aca="false">IF(O$5="A",Inputs_Actuals!O225,N12+0*Assumptions!$F$188-O33+IF(M$5="F",M33,0)*Assumptions!$F$189)</f>
        <v>5.86244047222222</v>
      </c>
      <c r="P12" s="75" t="n">
        <f aca="false">IF(P$5="A",Inputs_Actuals!P225,O12+0*Assumptions!$F$188-P33+IF(N$5="F",N33,0)*Assumptions!$F$189)</f>
        <v>5.86322866671296</v>
      </c>
      <c r="Q12" s="75" t="n">
        <f aca="false">IF(Q$5="A",Inputs_Actuals!Q225,P12+0*Assumptions!$F$188-Q33+IF(O$5="F",O33,0)*Assumptions!$F$189)</f>
        <v>5.86320052671242</v>
      </c>
      <c r="R12" s="75" t="n">
        <f aca="false">IF(R$5="A",Inputs_Actuals!R225,Q12+0*Assumptions!$F$188-R33+IF(P$5="F",P33,0)*Assumptions!$F$189)</f>
        <v>5.86319165941004</v>
      </c>
      <c r="S12" s="75" t="n">
        <f aca="false">IF(S$5="A",Inputs_Actuals!S225,R12+0*Assumptions!$F$188-S33+IF(Q$5="F",Q33,0)*Assumptions!$F$189)</f>
        <v>5.86319209116191</v>
      </c>
      <c r="T12" s="75" t="n">
        <f aca="false">IF(T$5="A",Inputs_Actuals!T225,S12+1*Assumptions!$F$188-T33+IF(R$5="F",R33,0)*Assumptions!$F$189)</f>
        <v>6.86319218957666</v>
      </c>
      <c r="U12" s="75" t="n">
        <f aca="false">IF(U$5="A",Inputs_Actuals!U225,T12+0*Assumptions!$F$188-U33+IF(S$5="F",S33,0)*Assumptions!$F$189)</f>
        <v>6.85152551672472</v>
      </c>
      <c r="V12" s="75" t="n">
        <f aca="false">IF(V$5="A",Inputs_Actuals!V225,U12+0*Assumptions!$F$188-V33+IF(T$5="F",T33,0)*Assumptions!$F$189)</f>
        <v>6.83999496009315</v>
      </c>
      <c r="W12" s="75" t="n">
        <f aca="false">IF(W$5="A",Inputs_Actuals!W225,V12+0*Assumptions!$F$188-W33+IF(U$5="F",U33,0)*Assumptions!$F$189)</f>
        <v>6.84026559443713</v>
      </c>
      <c r="X12" s="75" t="n">
        <f aca="false">IF(X$5="A",Inputs_Actuals!X225,W12+0*Assumptions!$F$188-X33+IF(V$5="F",V33,0)*Assumptions!$F$189)</f>
        <v>6.84039696019715</v>
      </c>
      <c r="Y12" s="75" t="n">
        <f aca="false">IF(Y$5="A",Inputs_Actuals!Y225,X12+0*Assumptions!$F$188-Y33+IF(W$5="F",W33,0)*Assumptions!$F$189)</f>
        <v>6.84039227019593</v>
      </c>
      <c r="Z12" s="75" t="n">
        <f aca="false">IF(Z$5="A",Inputs_Actuals!Z225,Y12+0*Assumptions!$F$188-Z33+IF(X$5="F",X33,0)*Assumptions!$F$189)</f>
        <v>6.84039079231208</v>
      </c>
      <c r="AA12" s="75" t="n">
        <f aca="false">IF(AA$5="A",Inputs_Actuals!AA225,Z12+0*Assumptions!$F$188-AA33+IF(Y$5="F",Y33,0)*Assumptions!$F$189)</f>
        <v>6.84039086427074</v>
      </c>
      <c r="AB12" s="75" t="n">
        <f aca="false">IF(AB$5="A",Inputs_Actuals!AB225,AA12+0*Assumptions!$F$188-AB33+IF(Z$5="F",Z33,0)*Assumptions!$F$189)</f>
        <v>6.8403908806732</v>
      </c>
    </row>
    <row r="13" customFormat="false" ht="15" hidden="false" customHeight="false" outlineLevel="0" collapsed="false">
      <c r="A13" s="27" t="s">
        <v>1099</v>
      </c>
      <c r="B13" s="63" t="s">
        <v>1095</v>
      </c>
      <c r="C13" s="74" t="n">
        <f aca="false">P13</f>
        <v>2.93161433335648</v>
      </c>
      <c r="D13" s="74" t="n">
        <f aca="false">AB13</f>
        <v>3.90879478827189</v>
      </c>
      <c r="E13" s="75" t="n">
        <f aca="false">IF(E$5="A",Inputs_Actuals!E226,Assumptions!$E$65+0*Assumptions!$F$188-E34)</f>
        <v>3</v>
      </c>
      <c r="F13" s="75" t="n">
        <f aca="false">IF(F$5="A",Inputs_Actuals!F226,E13+0*Assumptions!$F$188-F34)</f>
        <v>3</v>
      </c>
      <c r="G13" s="75" t="n">
        <f aca="false">IF(G$5="A",Inputs_Actuals!G226,F13+0*Assumptions!$F$188-G34+IF(E$5="F",E34,0)*Assumptions!$F$189)</f>
        <v>3</v>
      </c>
      <c r="H13" s="75" t="n">
        <f aca="false">IF(H$5="A",Inputs_Actuals!H226,G13+0*Assumptions!$F$188-H34+IF(F$5="F",F34,0)*Assumptions!$F$189)</f>
        <v>3</v>
      </c>
      <c r="I13" s="75" t="n">
        <f aca="false">IF(I$5="A",Inputs_Actuals!I226,H13+0*Assumptions!$F$188-I34+IF(G$5="F",G34,0)*Assumptions!$F$189)</f>
        <v>3</v>
      </c>
      <c r="J13" s="75" t="n">
        <f aca="false">IF(J$5="A",Inputs_Actuals!J226,I13+0*Assumptions!$F$188-J34+IF(H$5="F",H34,0)*Assumptions!$F$189)</f>
        <v>3</v>
      </c>
      <c r="K13" s="75" t="n">
        <f aca="false">IF(K$5="A",Inputs_Actuals!K226,J13+0*Assumptions!$F$188-K34+IF(I$5="F",I34,0)*Assumptions!$F$189)</f>
        <v>3</v>
      </c>
      <c r="L13" s="75" t="n">
        <f aca="false">IF(L$5="A",Inputs_Actuals!L226,K13+0*Assumptions!$F$188-L34+IF(J$5="F",J34,0)*Assumptions!$F$189)</f>
        <v>3</v>
      </c>
      <c r="M13" s="75" t="n">
        <f aca="false">IF(M$5="A",Inputs_Actuals!M226,L13+0*Assumptions!$F$188-M34+IF(K$5="F",K34,0)*Assumptions!$F$189)</f>
        <v>2.965</v>
      </c>
      <c r="N13" s="75" t="n">
        <f aca="false">IF(N$5="A",Inputs_Actuals!N226,M13+0*Assumptions!$F$188-N34+IF(L$5="F",L34,0)*Assumptions!$F$189)</f>
        <v>2.93040833333333</v>
      </c>
      <c r="O13" s="75" t="n">
        <f aca="false">IF(O$5="A",Inputs_Actuals!O226,N13+0*Assumptions!$F$188-O34+IF(M$5="F",M34,0)*Assumptions!$F$189)</f>
        <v>2.93122023611111</v>
      </c>
      <c r="P13" s="75" t="n">
        <f aca="false">IF(P$5="A",Inputs_Actuals!P226,O13+0*Assumptions!$F$188-P34+IF(N$5="F",N34,0)*Assumptions!$F$189)</f>
        <v>2.93161433335648</v>
      </c>
      <c r="Q13" s="75" t="n">
        <f aca="false">IF(Q$5="A",Inputs_Actuals!Q226,P13+1*Assumptions!$F$188-Q34+IF(O$5="F",O34,0)*Assumptions!$F$189)</f>
        <v>3.93160026335621</v>
      </c>
      <c r="R13" s="75" t="n">
        <f aca="false">IF(R$5="A",Inputs_Actuals!R226,Q13+0*Assumptions!$F$188-R34+IF(P$5="F",P34,0)*Assumptions!$F$189)</f>
        <v>3.91992916303835</v>
      </c>
      <c r="S13" s="75" t="n">
        <f aca="false">IF(S$5="A",Inputs_Actuals!S226,R13+0*Assumptions!$F$188-S34+IF(Q$5="F",Q34,0)*Assumptions!$F$189)</f>
        <v>3.90839882335873</v>
      </c>
      <c r="T13" s="75" t="n">
        <f aca="false">IF(T$5="A",Inputs_Actuals!T226,S13+0*Assumptions!$F$188-T34+IF(R$5="F",R34,0)*Assumptions!$F$189)</f>
        <v>3.90866950682537</v>
      </c>
      <c r="U13" s="75" t="n">
        <f aca="false">IF(U$5="A",Inputs_Actuals!U226,T13+0*Assumptions!$F$188-U34+IF(S$5="F",S34,0)*Assumptions!$F$189)</f>
        <v>3.90880086948119</v>
      </c>
      <c r="V13" s="75" t="n">
        <f aca="false">IF(V$5="A",Inputs_Actuals!V226,U13+0*Assumptions!$F$188-V34+IF(T$5="F",T34,0)*Assumptions!$F$189)</f>
        <v>3.90879617894309</v>
      </c>
      <c r="W13" s="75" t="n">
        <f aca="false">IF(W$5="A",Inputs_Actuals!W226,V13+0*Assumptions!$F$188-W34+IF(U$5="F",U34,0)*Assumptions!$F$189)</f>
        <v>3.90879470110172</v>
      </c>
      <c r="X13" s="75" t="n">
        <f aca="false">IF(X$5="A",Inputs_Actuals!X226,W13+0*Assumptions!$F$188-X34+IF(V$5="F",V34,0)*Assumptions!$F$189)</f>
        <v>3.90879477306614</v>
      </c>
      <c r="Y13" s="75" t="n">
        <f aca="false">IF(Y$5="A",Inputs_Actuals!Y226,X13+0*Assumptions!$F$188-Y34+IF(W$5="F",W34,0)*Assumptions!$F$189)</f>
        <v>3.90879478946804</v>
      </c>
      <c r="Z13" s="75" t="n">
        <f aca="false">IF(Z$5="A",Inputs_Actuals!Z226,Y13+0*Assumptions!$F$188-Z34+IF(X$5="F",X34,0)*Assumptions!$F$189)</f>
        <v>3.9087947884371</v>
      </c>
      <c r="AA13" s="75" t="n">
        <f aca="false">IF(AA$5="A",Inputs_Actuals!AA226,Z13+0*Assumptions!$F$188-AA34+IF(Y$5="F",Y34,0)*Assumptions!$F$189)</f>
        <v>3.90879478825777</v>
      </c>
      <c r="AB13" s="75" t="n">
        <f aca="false">IF(AB$5="A",Inputs_Actuals!AB226,AA13+0*Assumptions!$F$188-AB34+IF(Z$5="F",Z34,0)*Assumptions!$F$189)</f>
        <v>3.90879478827189</v>
      </c>
    </row>
    <row r="14" customFormat="false" ht="15" hidden="false" customHeight="false" outlineLevel="0" collapsed="false">
      <c r="A14" s="27" t="s">
        <v>1100</v>
      </c>
      <c r="B14" s="63" t="s">
        <v>1095</v>
      </c>
      <c r="C14" s="74" t="n">
        <f aca="false">P14</f>
        <v>1.95440955557099</v>
      </c>
      <c r="D14" s="74" t="n">
        <f aca="false">AB14</f>
        <v>1.95439739413681</v>
      </c>
      <c r="E14" s="75" t="n">
        <f aca="false">IF(E$5="A",Inputs_Actuals!E227,Assumptions!$E$66+0*Assumptions!$F$188-E35)</f>
        <v>2</v>
      </c>
      <c r="F14" s="75" t="n">
        <f aca="false">IF(F$5="A",Inputs_Actuals!F227,E14+0*Assumptions!$F$188-F35)</f>
        <v>2</v>
      </c>
      <c r="G14" s="75" t="n">
        <f aca="false">IF(G$5="A",Inputs_Actuals!G227,F14+0*Assumptions!$F$188-G35+IF(E$5="F",E35,0)*Assumptions!$F$189)</f>
        <v>2</v>
      </c>
      <c r="H14" s="75" t="n">
        <f aca="false">IF(H$5="A",Inputs_Actuals!H227,G14+0*Assumptions!$F$188-H35+IF(F$5="F",F35,0)*Assumptions!$F$189)</f>
        <v>2</v>
      </c>
      <c r="I14" s="75" t="n">
        <f aca="false">IF(I$5="A",Inputs_Actuals!I227,H14+0*Assumptions!$F$188-I35+IF(G$5="F",G35,0)*Assumptions!$F$189)</f>
        <v>2</v>
      </c>
      <c r="J14" s="75" t="n">
        <f aca="false">IF(J$5="A",Inputs_Actuals!J227,I14+0*Assumptions!$F$188-J35+IF(H$5="F",H35,0)*Assumptions!$F$189)</f>
        <v>2</v>
      </c>
      <c r="K14" s="75" t="n">
        <f aca="false">IF(K$5="A",Inputs_Actuals!K227,J14+0*Assumptions!$F$188-K35+IF(I$5="F",I35,0)*Assumptions!$F$189)</f>
        <v>2</v>
      </c>
      <c r="L14" s="75" t="n">
        <f aca="false">IF(L$5="A",Inputs_Actuals!L227,K14+0*Assumptions!$F$188-L35+IF(J$5="F",J35,0)*Assumptions!$F$189)</f>
        <v>2</v>
      </c>
      <c r="M14" s="75" t="n">
        <f aca="false">IF(M$5="A",Inputs_Actuals!M227,L14+0*Assumptions!$F$188-M35+IF(K$5="F",K35,0)*Assumptions!$F$189)</f>
        <v>1.97666666666667</v>
      </c>
      <c r="N14" s="75" t="n">
        <f aca="false">IF(N$5="A",Inputs_Actuals!N227,M14+0*Assumptions!$F$188-N35+IF(L$5="F",L35,0)*Assumptions!$F$189)</f>
        <v>1.95360555555556</v>
      </c>
      <c r="O14" s="75" t="n">
        <f aca="false">IF(O$5="A",Inputs_Actuals!O227,N14+0*Assumptions!$F$188-O35+IF(M$5="F",M35,0)*Assumptions!$F$189)</f>
        <v>1.95414682407407</v>
      </c>
      <c r="P14" s="75" t="n">
        <f aca="false">IF(P$5="A",Inputs_Actuals!P227,O14+0*Assumptions!$F$188-P35+IF(N$5="F",N35,0)*Assumptions!$F$189)</f>
        <v>1.95440955557099</v>
      </c>
      <c r="Q14" s="75" t="n">
        <f aca="false">IF(Q$5="A",Inputs_Actuals!Q227,P14+0*Assumptions!$F$188-Q35+IF(O$5="F",O35,0)*Assumptions!$F$189)</f>
        <v>1.95440017557081</v>
      </c>
      <c r="R14" s="75" t="n">
        <f aca="false">IF(R$5="A",Inputs_Actuals!R227,Q14+0*Assumptions!$F$188-R35+IF(P$5="F",P35,0)*Assumptions!$F$189)</f>
        <v>1.95439721980335</v>
      </c>
      <c r="S14" s="75" t="n">
        <f aca="false">IF(S$5="A",Inputs_Actuals!S227,R14+0*Assumptions!$F$188-S35+IF(Q$5="F",Q35,0)*Assumptions!$F$189)</f>
        <v>1.95439736372063</v>
      </c>
      <c r="T14" s="75" t="n">
        <f aca="false">IF(T$5="A",Inputs_Actuals!T227,S14+0*Assumptions!$F$188-T35+IF(R$5="F",R35,0)*Assumptions!$F$189)</f>
        <v>1.95439739652555</v>
      </c>
      <c r="U14" s="75" t="n">
        <f aca="false">IF(U$5="A",Inputs_Actuals!U227,T14+0*Assumptions!$F$188-U35+IF(S$5="F",S35,0)*Assumptions!$F$189)</f>
        <v>1.95439739446379</v>
      </c>
      <c r="V14" s="75" t="n">
        <f aca="false">IF(V$5="A",Inputs_Actuals!V227,U14+0*Assumptions!$F$188-V35+IF(T$5="F",T35,0)*Assumptions!$F$189)</f>
        <v>1.95439739410512</v>
      </c>
      <c r="W14" s="75" t="n">
        <f aca="false">IF(W$5="A",Inputs_Actuals!W227,V14+0*Assumptions!$F$188-W35+IF(U$5="F",U35,0)*Assumptions!$F$189)</f>
        <v>1.95439739413336</v>
      </c>
      <c r="X14" s="75" t="n">
        <f aca="false">IF(X$5="A",Inputs_Actuals!X227,W14+0*Assumptions!$F$188-X35+IF(V$5="F",V35,0)*Assumptions!$F$189)</f>
        <v>1.95439739413722</v>
      </c>
      <c r="Y14" s="75" t="n">
        <f aca="false">IF(Y$5="A",Inputs_Actuals!Y227,X14+0*Assumptions!$F$188-Y35+IF(W$5="F",W35,0)*Assumptions!$F$189)</f>
        <v>1.95439739413684</v>
      </c>
      <c r="Z14" s="75" t="n">
        <f aca="false">IF(Z$5="A",Inputs_Actuals!Z227,Y14+0*Assumptions!$F$188-Z35+IF(X$5="F",X35,0)*Assumptions!$F$189)</f>
        <v>1.9543973941368</v>
      </c>
      <c r="AA14" s="75" t="n">
        <f aca="false">IF(AA$5="A",Inputs_Actuals!AA227,Z14+0*Assumptions!$F$188-AA35+IF(Y$5="F",Y35,0)*Assumptions!$F$189)</f>
        <v>1.95439739413681</v>
      </c>
      <c r="AB14" s="75" t="n">
        <f aca="false">IF(AB$5="A",Inputs_Actuals!AB227,AA14+0*Assumptions!$F$188-AB35+IF(Z$5="F",Z35,0)*Assumptions!$F$189)</f>
        <v>1.95439739413681</v>
      </c>
    </row>
    <row r="15" customFormat="false" ht="15" hidden="false" customHeight="false" outlineLevel="0" collapsed="false">
      <c r="A15" s="27" t="s">
        <v>1101</v>
      </c>
      <c r="B15" s="63" t="s">
        <v>1095</v>
      </c>
      <c r="C15" s="74" t="n">
        <f aca="false">P15</f>
        <v>10.8196968123071</v>
      </c>
      <c r="D15" s="74" t="n">
        <f aca="false">AB15</f>
        <v>11.8032786885243</v>
      </c>
      <c r="E15" s="75" t="n">
        <f aca="false">IF(E$5="A",Inputs_Actuals!E228,Assumptions!$E$67+0*Assumptions!$F$188-E36)</f>
        <v>10</v>
      </c>
      <c r="F15" s="75" t="n">
        <f aca="false">IF(F$5="A",Inputs_Actuals!F228,E15+0*Assumptions!$F$188-F36)</f>
        <v>11</v>
      </c>
      <c r="G15" s="75" t="n">
        <f aca="false">IF(G$5="A",Inputs_Actuals!G228,F15+0*Assumptions!$F$188-G36+IF(E$5="F",E36,0)*Assumptions!$F$189)</f>
        <v>11</v>
      </c>
      <c r="H15" s="75" t="n">
        <f aca="false">IF(H$5="A",Inputs_Actuals!H228,G15+0*Assumptions!$F$188-H36+IF(F$5="F",F36,0)*Assumptions!$F$189)</f>
        <v>11</v>
      </c>
      <c r="I15" s="75" t="n">
        <f aca="false">IF(I$5="A",Inputs_Actuals!I228,H15+0*Assumptions!$F$188-I36+IF(G$5="F",G36,0)*Assumptions!$F$189)</f>
        <v>11</v>
      </c>
      <c r="J15" s="75" t="n">
        <f aca="false">IF(J$5="A",Inputs_Actuals!J228,I15+0*Assumptions!$F$188-J36+IF(H$5="F",H36,0)*Assumptions!$F$189)</f>
        <v>11</v>
      </c>
      <c r="K15" s="75" t="n">
        <f aca="false">IF(K$5="A",Inputs_Actuals!K228,J15+0*Assumptions!$F$188-K36+IF(I$5="F",I36,0)*Assumptions!$F$189)</f>
        <v>11</v>
      </c>
      <c r="L15" s="75" t="n">
        <f aca="false">IF(L$5="A",Inputs_Actuals!L228,K15+0*Assumptions!$F$188-L36+IF(J$5="F",J36,0)*Assumptions!$F$189)</f>
        <v>11</v>
      </c>
      <c r="M15" s="75" t="n">
        <f aca="false">IF(M$5="A",Inputs_Actuals!M228,L15+0*Assumptions!$F$188-M36+IF(K$5="F",K36,0)*Assumptions!$F$189)</f>
        <v>10.9083333333333</v>
      </c>
      <c r="N15" s="75" t="n">
        <f aca="false">IF(N$5="A",Inputs_Actuals!N228,M15+0*Assumptions!$F$188-N36+IF(L$5="F",L36,0)*Assumptions!$F$189)</f>
        <v>10.8174305555556</v>
      </c>
      <c r="O15" s="75" t="n">
        <f aca="false">IF(O$5="A",Inputs_Actuals!O228,N15+0*Assumptions!$F$188-O36+IF(M$5="F",M36,0)*Assumptions!$F$189)</f>
        <v>10.8189519675926</v>
      </c>
      <c r="P15" s="75" t="n">
        <f aca="false">IF(P$5="A",Inputs_Actuals!P228,O15+0*Assumptions!$F$188-P36+IF(N$5="F",N36,0)*Assumptions!$F$189)</f>
        <v>10.8196968123071</v>
      </c>
      <c r="Q15" s="75" t="n">
        <f aca="false">IF(Q$5="A",Inputs_Actuals!Q228,P15+1*Assumptions!$F$188-Q36+IF(O$5="F",O36,0)*Assumptions!$F$189)</f>
        <v>11.8196779268342</v>
      </c>
      <c r="R15" s="75" t="n">
        <f aca="false">IF(R$5="A",Inputs_Actuals!R228,Q15+0*Assumptions!$F$188-R36+IF(P$5="F",P36,0)*Assumptions!$F$189)</f>
        <v>11.8113385438405</v>
      </c>
      <c r="S15" s="75" t="n">
        <f aca="false">IF(S$5="A",Inputs_Actuals!S228,R15+0*Assumptions!$F$188-S36+IF(Q$5="F",Q36,0)*Assumptions!$F$189)</f>
        <v>11.8030748627444</v>
      </c>
      <c r="T15" s="75" t="n">
        <f aca="false">IF(T$5="A",Inputs_Actuals!T228,S15+0*Assumptions!$F$188-T36+IF(R$5="F",R36,0)*Assumptions!$F$189)</f>
        <v>11.8032132216118</v>
      </c>
      <c r="U15" s="75" t="n">
        <f aca="false">IF(U$5="A",Inputs_Actuals!U228,T15+0*Assumptions!$F$188-U36+IF(S$5="F",S36,0)*Assumptions!$F$189)</f>
        <v>11.8032809326304</v>
      </c>
      <c r="V15" s="75" t="n">
        <f aca="false">IF(V$5="A",Inputs_Actuals!V228,U15+0*Assumptions!$F$188-V36+IF(T$5="F",T36,0)*Assumptions!$F$189)</f>
        <v>11.8032792153813</v>
      </c>
      <c r="W15" s="75" t="n">
        <f aca="false">IF(W$5="A",Inputs_Actuals!W228,V15+0*Assumptions!$F$188-W36+IF(U$5="F",U36,0)*Assumptions!$F$189)</f>
        <v>11.8032786654332</v>
      </c>
      <c r="X15" s="75" t="n">
        <f aca="false">IF(X$5="A",Inputs_Actuals!X228,W15+0*Assumptions!$F$188-X36+IF(V$5="F",V36,0)*Assumptions!$F$189)</f>
        <v>11.8032786843265</v>
      </c>
      <c r="Y15" s="75" t="n">
        <f aca="false">IF(Y$5="A",Inputs_Actuals!Y228,X15+0*Assumptions!$F$188-Y36+IF(W$5="F",W36,0)*Assumptions!$F$189)</f>
        <v>11.803278688752</v>
      </c>
      <c r="Z15" s="75" t="n">
        <f aca="false">IF(Z$5="A",Inputs_Actuals!Z228,Y15+0*Assumptions!$F$188-Z36+IF(X$5="F",X36,0)*Assumptions!$F$189)</f>
        <v>11.8032786885577</v>
      </c>
      <c r="AA15" s="75" t="n">
        <f aca="false">IF(AA$5="A",Inputs_Actuals!AA228,Z15+0*Assumptions!$F$188-AA36+IF(Y$5="F",Y36,0)*Assumptions!$F$189)</f>
        <v>11.8032786885224</v>
      </c>
      <c r="AB15" s="75" t="n">
        <f aca="false">IF(AB$5="A",Inputs_Actuals!AB228,AA15+0*Assumptions!$F$188-AB36+IF(Z$5="F",Z36,0)*Assumptions!$F$189)</f>
        <v>11.8032786885243</v>
      </c>
    </row>
    <row r="16" customFormat="false" ht="15" hidden="false" customHeight="false" outlineLevel="0" collapsed="false">
      <c r="A16" s="27" t="s">
        <v>1102</v>
      </c>
      <c r="B16" s="63" t="s">
        <v>1095</v>
      </c>
      <c r="C16" s="74" t="n">
        <f aca="false">P16</f>
        <v>1.96721760223765</v>
      </c>
      <c r="D16" s="74" t="n">
        <f aca="false">AB16</f>
        <v>1.9672131147541</v>
      </c>
      <c r="E16" s="75" t="n">
        <f aca="false">IF(E$5="A",Inputs_Actuals!E229,Assumptions!$E$68+0*Assumptions!$F$188-E37)</f>
        <v>2</v>
      </c>
      <c r="F16" s="75" t="n">
        <f aca="false">IF(F$5="A",Inputs_Actuals!F229,E16+0*Assumptions!$F$188-F37)</f>
        <v>2</v>
      </c>
      <c r="G16" s="75" t="n">
        <f aca="false">IF(G$5="A",Inputs_Actuals!G229,F16+0*Assumptions!$F$188-G37+IF(E$5="F",E37,0)*Assumptions!$F$189)</f>
        <v>2</v>
      </c>
      <c r="H16" s="75" t="n">
        <f aca="false">IF(H$5="A",Inputs_Actuals!H229,G16+0*Assumptions!$F$188-H37+IF(F$5="F",F37,0)*Assumptions!$F$189)</f>
        <v>2</v>
      </c>
      <c r="I16" s="75" t="n">
        <f aca="false">IF(I$5="A",Inputs_Actuals!I229,H16+0*Assumptions!$F$188-I37+IF(G$5="F",G37,0)*Assumptions!$F$189)</f>
        <v>2</v>
      </c>
      <c r="J16" s="75" t="n">
        <f aca="false">IF(J$5="A",Inputs_Actuals!J229,I16+0*Assumptions!$F$188-J37+IF(H$5="F",H37,0)*Assumptions!$F$189)</f>
        <v>2</v>
      </c>
      <c r="K16" s="75" t="n">
        <f aca="false">IF(K$5="A",Inputs_Actuals!K229,J16+0*Assumptions!$F$188-K37+IF(I$5="F",I37,0)*Assumptions!$F$189)</f>
        <v>2</v>
      </c>
      <c r="L16" s="75" t="n">
        <f aca="false">IF(L$5="A",Inputs_Actuals!L229,K16+0*Assumptions!$F$188-L37+IF(J$5="F",J37,0)*Assumptions!$F$189)</f>
        <v>2</v>
      </c>
      <c r="M16" s="75" t="n">
        <f aca="false">IF(M$5="A",Inputs_Actuals!M229,L16+0*Assumptions!$F$188-M37+IF(K$5="F",K37,0)*Assumptions!$F$189)</f>
        <v>1.98333333333333</v>
      </c>
      <c r="N16" s="75" t="n">
        <f aca="false">IF(N$5="A",Inputs_Actuals!N229,M16+0*Assumptions!$F$188-N37+IF(L$5="F",L37,0)*Assumptions!$F$189)</f>
        <v>1.96680555555556</v>
      </c>
      <c r="O16" s="75" t="n">
        <f aca="false">IF(O$5="A",Inputs_Actuals!O229,N16+0*Assumptions!$F$188-O37+IF(M$5="F",M37,0)*Assumptions!$F$189)</f>
        <v>1.96708217592593</v>
      </c>
      <c r="P16" s="75" t="n">
        <f aca="false">IF(P$5="A",Inputs_Actuals!P229,O16+0*Assumptions!$F$188-P37+IF(N$5="F",N37,0)*Assumptions!$F$189)</f>
        <v>1.96721760223765</v>
      </c>
      <c r="Q16" s="75" t="n">
        <f aca="false">IF(Q$5="A",Inputs_Actuals!Q229,P16+0*Assumptions!$F$188-Q37+IF(O$5="F",O37,0)*Assumptions!$F$189)</f>
        <v>1.9672141685153</v>
      </c>
      <c r="R16" s="75" t="n">
        <f aca="false">IF(R$5="A",Inputs_Actuals!R229,Q16+0*Assumptions!$F$188-R37+IF(P$5="F",P37,0)*Assumptions!$F$189)</f>
        <v>1.96721306857706</v>
      </c>
      <c r="S16" s="75" t="n">
        <f aca="false">IF(S$5="A",Inputs_Actuals!S229,R16+0*Assumptions!$F$188-S37+IF(Q$5="F",Q37,0)*Assumptions!$F$189)</f>
        <v>1.96721310635756</v>
      </c>
      <c r="T16" s="75" t="n">
        <f aca="false">IF(T$5="A",Inputs_Actuals!T229,S16+0*Assumptions!$F$188-T37+IF(R$5="F",R37,0)*Assumptions!$F$189)</f>
        <v>1.96721311520888</v>
      </c>
      <c r="U16" s="75" t="n">
        <f aca="false">IF(U$5="A",Inputs_Actuals!U229,T16+0*Assumptions!$F$188-U37+IF(S$5="F",S37,0)*Assumptions!$F$189)</f>
        <v>1.96721311482028</v>
      </c>
      <c r="V16" s="75" t="n">
        <f aca="false">IF(V$5="A",Inputs_Actuals!V229,U16+0*Assumptions!$F$188-V37+IF(T$5="F",T37,0)*Assumptions!$F$189)</f>
        <v>1.96721311474976</v>
      </c>
      <c r="W16" s="75" t="n">
        <f aca="false">IF(W$5="A",Inputs_Actuals!W229,V16+0*Assumptions!$F$188-W37+IF(U$5="F",U37,0)*Assumptions!$F$189)</f>
        <v>1.96721311475358</v>
      </c>
      <c r="X16" s="75" t="n">
        <f aca="false">IF(X$5="A",Inputs_Actuals!X229,W16+0*Assumptions!$F$188-X37+IF(V$5="F",V37,0)*Assumptions!$F$189)</f>
        <v>1.96721311475414</v>
      </c>
      <c r="Y16" s="75" t="n">
        <f aca="false">IF(Y$5="A",Inputs_Actuals!Y229,X16+0*Assumptions!$F$188-Y37+IF(W$5="F",W37,0)*Assumptions!$F$189)</f>
        <v>1.9672131147541</v>
      </c>
      <c r="Z16" s="75" t="n">
        <f aca="false">IF(Z$5="A",Inputs_Actuals!Z229,Y16+0*Assumptions!$F$188-Z37+IF(X$5="F",X37,0)*Assumptions!$F$189)</f>
        <v>1.9672131147541</v>
      </c>
      <c r="AA16" s="75" t="n">
        <f aca="false">IF(AA$5="A",Inputs_Actuals!AA229,Z16+0*Assumptions!$F$188-AA37+IF(Y$5="F",Y37,0)*Assumptions!$F$189)</f>
        <v>1.9672131147541</v>
      </c>
      <c r="AB16" s="75" t="n">
        <f aca="false">IF(AB$5="A",Inputs_Actuals!AB229,AA16+0*Assumptions!$F$188-AB37+IF(Z$5="F",Z37,0)*Assumptions!$F$189)</f>
        <v>1.9672131147541</v>
      </c>
    </row>
    <row r="17" customFormat="false" ht="15" hidden="false" customHeight="false" outlineLevel="0" collapsed="false">
      <c r="A17" s="27" t="s">
        <v>1103</v>
      </c>
      <c r="B17" s="63" t="s">
        <v>1095</v>
      </c>
      <c r="C17" s="74" t="n">
        <f aca="false">P17</f>
        <v>0.975617211914063</v>
      </c>
      <c r="D17" s="74" t="n">
        <f aca="false">AB17</f>
        <v>0.975609756097561</v>
      </c>
      <c r="E17" s="75" t="n">
        <f aca="false">IF(E$5="A",Inputs_Actuals!E230,Assumptions!$E$69+0*Assumptions!$F$188-E38)</f>
        <v>1</v>
      </c>
      <c r="F17" s="75" t="n">
        <f aca="false">IF(F$5="A",Inputs_Actuals!F230,E17+0*Assumptions!$F$188-F38)</f>
        <v>1</v>
      </c>
      <c r="G17" s="75" t="n">
        <f aca="false">IF(G$5="A",Inputs_Actuals!G230,F17+0*Assumptions!$F$188-G38+IF(E$5="F",E38,0)*Assumptions!$F$189)</f>
        <v>1</v>
      </c>
      <c r="H17" s="75" t="n">
        <f aca="false">IF(H$5="A",Inputs_Actuals!H230,G17+0*Assumptions!$F$188-H38+IF(F$5="F",F38,0)*Assumptions!$F$189)</f>
        <v>1</v>
      </c>
      <c r="I17" s="75" t="n">
        <f aca="false">IF(I$5="A",Inputs_Actuals!I230,H17+0*Assumptions!$F$188-I38+IF(G$5="F",G38,0)*Assumptions!$F$189)</f>
        <v>1</v>
      </c>
      <c r="J17" s="75" t="n">
        <f aca="false">IF(J$5="A",Inputs_Actuals!J230,I17+0*Assumptions!$F$188-J38+IF(H$5="F",H38,0)*Assumptions!$F$189)</f>
        <v>1</v>
      </c>
      <c r="K17" s="75" t="n">
        <f aca="false">IF(K$5="A",Inputs_Actuals!K230,J17+0*Assumptions!$F$188-K38+IF(I$5="F",I38,0)*Assumptions!$F$189)</f>
        <v>1</v>
      </c>
      <c r="L17" s="75" t="n">
        <f aca="false">IF(L$5="A",Inputs_Actuals!L230,K17+0*Assumptions!$F$188-L38+IF(J$5="F",J38,0)*Assumptions!$F$189)</f>
        <v>1</v>
      </c>
      <c r="M17" s="75" t="n">
        <f aca="false">IF(M$5="A",Inputs_Actuals!M230,L17+0*Assumptions!$F$188-M38+IF(K$5="F",K38,0)*Assumptions!$F$189)</f>
        <v>0.9875</v>
      </c>
      <c r="N17" s="75" t="n">
        <f aca="false">IF(N$5="A",Inputs_Actuals!N230,M17+0*Assumptions!$F$188-N38+IF(L$5="F",L38,0)*Assumptions!$F$189)</f>
        <v>0.97515625</v>
      </c>
      <c r="O17" s="75" t="n">
        <f aca="false">IF(O$5="A",Inputs_Actuals!O230,N17+0*Assumptions!$F$188-O38+IF(M$5="F",M38,0)*Assumptions!$F$189)</f>
        <v>0.975466796875</v>
      </c>
      <c r="P17" s="75" t="n">
        <f aca="false">IF(P$5="A",Inputs_Actuals!P230,O17+0*Assumptions!$F$188-P38+IF(N$5="F",N38,0)*Assumptions!$F$189)</f>
        <v>0.975617211914063</v>
      </c>
      <c r="Q17" s="75" t="n">
        <f aca="false">IF(Q$5="A",Inputs_Actuals!Q230,P17+0*Assumptions!$F$188-Q38+IF(O$5="F",O38,0)*Assumptions!$F$189)</f>
        <v>0.975611449890137</v>
      </c>
      <c r="R17" s="75" t="n">
        <f aca="false">IF(R$5="A",Inputs_Actuals!R230,Q17+0*Assumptions!$F$188-R38+IF(P$5="F",P38,0)*Assumptions!$F$189)</f>
        <v>0.975609641727448</v>
      </c>
      <c r="S17" s="75" t="n">
        <f aca="false">IF(S$5="A",Inputs_Actuals!S230,R17+0*Assumptions!$F$188-S38+IF(Q$5="F",Q38,0)*Assumptions!$F$189)</f>
        <v>0.97560973635478</v>
      </c>
      <c r="T17" s="75" t="n">
        <f aca="false">IF(T$5="A",Inputs_Actuals!T230,S17+0*Assumptions!$F$188-T38+IF(R$5="F",R38,0)*Assumptions!$F$189)</f>
        <v>0.975609757773972</v>
      </c>
      <c r="U17" s="75" t="n">
        <f aca="false">IF(U$5="A",Inputs_Actuals!U230,T17+0*Assumptions!$F$188-U38+IF(S$5="F",S38,0)*Assumptions!$F$189)</f>
        <v>0.975609756323391</v>
      </c>
      <c r="V17" s="75" t="n">
        <f aca="false">IF(V$5="A",Inputs_Actuals!V230,U17+0*Assumptions!$F$188-V38+IF(T$5="F",T38,0)*Assumptions!$F$189)</f>
        <v>0.975609756073783</v>
      </c>
      <c r="W17" s="75" t="n">
        <f aca="false">IF(W$5="A",Inputs_Actuals!W230,V17+0*Assumptions!$F$188-W38+IF(U$5="F",U38,0)*Assumptions!$F$189)</f>
        <v>0.975609756095035</v>
      </c>
      <c r="X17" s="75" t="n">
        <f aca="false">IF(X$5="A",Inputs_Actuals!X230,W17+0*Assumptions!$F$188-X38+IF(V$5="F",V38,0)*Assumptions!$F$189)</f>
        <v>0.97560975609789</v>
      </c>
      <c r="Y17" s="75" t="n">
        <f aca="false">IF(Y$5="A",Inputs_Actuals!Y230,X17+0*Assumptions!$F$188-Y38+IF(W$5="F",W38,0)*Assumptions!$F$189)</f>
        <v>0.975609756097588</v>
      </c>
      <c r="Z17" s="75" t="n">
        <f aca="false">IF(Z$5="A",Inputs_Actuals!Z230,Y17+0*Assumptions!$F$188-Z38+IF(X$5="F",X38,0)*Assumptions!$F$189)</f>
        <v>0.975609756097557</v>
      </c>
      <c r="AA17" s="75" t="n">
        <f aca="false">IF(AA$5="A",Inputs_Actuals!AA230,Z17+0*Assumptions!$F$188-AA38+IF(Y$5="F",Y38,0)*Assumptions!$F$189)</f>
        <v>0.975609756097561</v>
      </c>
      <c r="AB17" s="75" t="n">
        <f aca="false">IF(AB$5="A",Inputs_Actuals!AB230,AA17+0*Assumptions!$F$188-AB38+IF(Z$5="F",Z38,0)*Assumptions!$F$189)</f>
        <v>0.975609756097561</v>
      </c>
    </row>
    <row r="18" customFormat="false" ht="15" hidden="false" customHeight="false" outlineLevel="0" collapsed="false">
      <c r="A18" s="27" t="s">
        <v>1104</v>
      </c>
      <c r="B18" s="63" t="s">
        <v>1095</v>
      </c>
      <c r="C18" s="74" t="n">
        <f aca="false">P18</f>
        <v>3.90246884765625</v>
      </c>
      <c r="D18" s="74" t="n">
        <f aca="false">AB18</f>
        <v>4.87804878048528</v>
      </c>
      <c r="E18" s="75" t="n">
        <f aca="false">IF(E$5="A",Inputs_Actuals!E231,Assumptions!$E$70+0*Assumptions!$F$188-E39)</f>
        <v>3</v>
      </c>
      <c r="F18" s="75" t="n">
        <f aca="false">IF(F$5="A",Inputs_Actuals!F231,E18+0*Assumptions!$F$188-F39)</f>
        <v>3</v>
      </c>
      <c r="G18" s="75" t="n">
        <f aca="false">IF(G$5="A",Inputs_Actuals!G231,F18+0*Assumptions!$F$188-G39+IF(E$5="F",E39,0)*Assumptions!$F$189)</f>
        <v>4</v>
      </c>
      <c r="H18" s="75" t="n">
        <f aca="false">IF(H$5="A",Inputs_Actuals!H231,G18+0*Assumptions!$F$188-H39+IF(F$5="F",F39,0)*Assumptions!$F$189)</f>
        <v>4</v>
      </c>
      <c r="I18" s="75" t="n">
        <f aca="false">IF(I$5="A",Inputs_Actuals!I231,H18+0*Assumptions!$F$188-I39+IF(G$5="F",G39,0)*Assumptions!$F$189)</f>
        <v>4</v>
      </c>
      <c r="J18" s="75" t="n">
        <f aca="false">IF(J$5="A",Inputs_Actuals!J231,I18+0*Assumptions!$F$188-J39+IF(H$5="F",H39,0)*Assumptions!$F$189)</f>
        <v>4</v>
      </c>
      <c r="K18" s="75" t="n">
        <f aca="false">IF(K$5="A",Inputs_Actuals!K231,J18+0*Assumptions!$F$188-K39+IF(I$5="F",I39,0)*Assumptions!$F$189)</f>
        <v>4</v>
      </c>
      <c r="L18" s="75" t="n">
        <f aca="false">IF(L$5="A",Inputs_Actuals!L231,K18+0*Assumptions!$F$188-L39+IF(J$5="F",J39,0)*Assumptions!$F$189)</f>
        <v>4</v>
      </c>
      <c r="M18" s="75" t="n">
        <f aca="false">IF(M$5="A",Inputs_Actuals!M231,L18+0*Assumptions!$F$188-M39+IF(K$5="F",K39,0)*Assumptions!$F$189)</f>
        <v>3.95</v>
      </c>
      <c r="N18" s="75" t="n">
        <f aca="false">IF(N$5="A",Inputs_Actuals!N231,M18+0*Assumptions!$F$188-N39+IF(L$5="F",L39,0)*Assumptions!$F$189)</f>
        <v>3.900625</v>
      </c>
      <c r="O18" s="75" t="n">
        <f aca="false">IF(O$5="A",Inputs_Actuals!O231,N18+0*Assumptions!$F$188-O39+IF(M$5="F",M39,0)*Assumptions!$F$189)</f>
        <v>3.9018671875</v>
      </c>
      <c r="P18" s="75" t="n">
        <f aca="false">IF(P$5="A",Inputs_Actuals!P231,O18+0*Assumptions!$F$188-P39+IF(N$5="F",N39,0)*Assumptions!$F$189)</f>
        <v>3.90246884765625</v>
      </c>
      <c r="Q18" s="75" t="n">
        <f aca="false">IF(Q$5="A",Inputs_Actuals!Q231,P18+1*Assumptions!$F$188-Q39+IF(O$5="F",O39,0)*Assumptions!$F$189)</f>
        <v>4.90244579956055</v>
      </c>
      <c r="R18" s="75" t="n">
        <f aca="false">IF(R$5="A",Inputs_Actuals!R231,Q18+0*Assumptions!$F$188-R39+IF(P$5="F",P39,0)*Assumptions!$F$189)</f>
        <v>4.88993856690979</v>
      </c>
      <c r="S18" s="75" t="n">
        <f aca="false">IF(S$5="A",Inputs_Actuals!S231,R18+0*Assumptions!$F$188-S39+IF(Q$5="F",Q39,0)*Assumptions!$F$189)</f>
        <v>4.87759519541912</v>
      </c>
      <c r="T18" s="75" t="n">
        <f aca="false">IF(T$5="A",Inputs_Actuals!T231,S18+0*Assumptions!$F$188-T39+IF(R$5="F",R39,0)*Assumptions!$F$189)</f>
        <v>4.87790582797089</v>
      </c>
      <c r="U18" s="75" t="n">
        <f aca="false">IF(U$5="A",Inputs_Actuals!U231,T18+0*Assumptions!$F$188-U39+IF(S$5="F",S39,0)*Assumptions!$F$189)</f>
        <v>4.87805623720763</v>
      </c>
      <c r="V18" s="75" t="n">
        <f aca="false">IF(V$5="A",Inputs_Actuals!V231,U18+0*Assumptions!$F$188-V39+IF(T$5="F",T39,0)*Assumptions!$F$189)</f>
        <v>4.87805047418527</v>
      </c>
      <c r="W18" s="75" t="n">
        <f aca="false">IF(W$5="A",Inputs_Actuals!W231,V18+0*Assumptions!$F$188-W39+IF(U$5="F",U39,0)*Assumptions!$F$189)</f>
        <v>4.87804866610759</v>
      </c>
      <c r="X18" s="75" t="n">
        <f aca="false">IF(X$5="A",Inputs_Actuals!X231,W18+0*Assumptions!$F$188-X39+IF(V$5="F",V39,0)*Assumptions!$F$189)</f>
        <v>4.87804876074634</v>
      </c>
      <c r="Y18" s="75" t="n">
        <f aca="false">IF(Y$5="A",Inputs_Actuals!Y231,X18+0*Assumptions!$F$188-Y39+IF(W$5="F",W39,0)*Assumptions!$F$189)</f>
        <v>4.87804878216433</v>
      </c>
      <c r="Z18" s="75" t="n">
        <f aca="false">IF(Z$5="A",Inputs_Actuals!Z231,Y18+0*Assumptions!$F$188-Z39+IF(X$5="F",X39,0)*Assumptions!$F$189)</f>
        <v>4.87804878071362</v>
      </c>
      <c r="AA18" s="75" t="n">
        <f aca="false">IF(AA$5="A",Inputs_Actuals!AA231,Z18+0*Assumptions!$F$188-AA39+IF(Y$5="F",Y39,0)*Assumptions!$F$189)</f>
        <v>4.87804878046403</v>
      </c>
      <c r="AB18" s="75" t="n">
        <f aca="false">IF(AB$5="A",Inputs_Actuals!AB231,AA18+0*Assumptions!$F$188-AB39+IF(Z$5="F",Z39,0)*Assumptions!$F$189)</f>
        <v>4.87804878048528</v>
      </c>
    </row>
    <row r="19" customFormat="false" ht="15" hidden="false" customHeight="false" outlineLevel="0" collapsed="false">
      <c r="A19" s="27" t="s">
        <v>1105</v>
      </c>
      <c r="B19" s="63" t="s">
        <v>1095</v>
      </c>
      <c r="C19" s="74" t="n">
        <f aca="false">P19</f>
        <v>0.975617211914063</v>
      </c>
      <c r="D19" s="74" t="n">
        <f aca="false">AB19</f>
        <v>0.975609756097561</v>
      </c>
      <c r="E19" s="75" t="n">
        <f aca="false">IF(E$5="A",Inputs_Actuals!E232,Assumptions!$E$71+0*Assumptions!$F$188-E40)</f>
        <v>1</v>
      </c>
      <c r="F19" s="75" t="n">
        <f aca="false">IF(F$5="A",Inputs_Actuals!F232,E19+0*Assumptions!$F$188-F40)</f>
        <v>1</v>
      </c>
      <c r="G19" s="75" t="n">
        <f aca="false">IF(G$5="A",Inputs_Actuals!G232,F19+0*Assumptions!$F$188-G40+IF(E$5="F",E40,0)*Assumptions!$F$189)</f>
        <v>1</v>
      </c>
      <c r="H19" s="75" t="n">
        <f aca="false">IF(H$5="A",Inputs_Actuals!H232,G19+0*Assumptions!$F$188-H40+IF(F$5="F",F40,0)*Assumptions!$F$189)</f>
        <v>1</v>
      </c>
      <c r="I19" s="75" t="n">
        <f aca="false">IF(I$5="A",Inputs_Actuals!I232,H19+0*Assumptions!$F$188-I40+IF(G$5="F",G40,0)*Assumptions!$F$189)</f>
        <v>1</v>
      </c>
      <c r="J19" s="75" t="n">
        <f aca="false">IF(J$5="A",Inputs_Actuals!J232,I19+0*Assumptions!$F$188-J40+IF(H$5="F",H40,0)*Assumptions!$F$189)</f>
        <v>1</v>
      </c>
      <c r="K19" s="75" t="n">
        <f aca="false">IF(K$5="A",Inputs_Actuals!K232,J19+0*Assumptions!$F$188-K40+IF(I$5="F",I40,0)*Assumptions!$F$189)</f>
        <v>1</v>
      </c>
      <c r="L19" s="75" t="n">
        <f aca="false">IF(L$5="A",Inputs_Actuals!L232,K19+0*Assumptions!$F$188-L40+IF(J$5="F",J40,0)*Assumptions!$F$189)</f>
        <v>1</v>
      </c>
      <c r="M19" s="75" t="n">
        <f aca="false">IF(M$5="A",Inputs_Actuals!M232,L19+0*Assumptions!$F$188-M40+IF(K$5="F",K40,0)*Assumptions!$F$189)</f>
        <v>0.9875</v>
      </c>
      <c r="N19" s="75" t="n">
        <f aca="false">IF(N$5="A",Inputs_Actuals!N232,M19+0*Assumptions!$F$188-N40+IF(L$5="F",L40,0)*Assumptions!$F$189)</f>
        <v>0.97515625</v>
      </c>
      <c r="O19" s="75" t="n">
        <f aca="false">IF(O$5="A",Inputs_Actuals!O232,N19+0*Assumptions!$F$188-O40+IF(M$5="F",M40,0)*Assumptions!$F$189)</f>
        <v>0.975466796875</v>
      </c>
      <c r="P19" s="75" t="n">
        <f aca="false">IF(P$5="A",Inputs_Actuals!P232,O19+0*Assumptions!$F$188-P40+IF(N$5="F",N40,0)*Assumptions!$F$189)</f>
        <v>0.975617211914063</v>
      </c>
      <c r="Q19" s="75" t="n">
        <f aca="false">IF(Q$5="A",Inputs_Actuals!Q232,P19+0*Assumptions!$F$188-Q40+IF(O$5="F",O40,0)*Assumptions!$F$189)</f>
        <v>0.975611449890137</v>
      </c>
      <c r="R19" s="75" t="n">
        <f aca="false">IF(R$5="A",Inputs_Actuals!R232,Q19+0*Assumptions!$F$188-R40+IF(P$5="F",P40,0)*Assumptions!$F$189)</f>
        <v>0.975609641727448</v>
      </c>
      <c r="S19" s="75" t="n">
        <f aca="false">IF(S$5="A",Inputs_Actuals!S232,R19+0*Assumptions!$F$188-S40+IF(Q$5="F",Q40,0)*Assumptions!$F$189)</f>
        <v>0.97560973635478</v>
      </c>
      <c r="T19" s="75" t="n">
        <f aca="false">IF(T$5="A",Inputs_Actuals!T232,S19+0*Assumptions!$F$188-T40+IF(R$5="F",R40,0)*Assumptions!$F$189)</f>
        <v>0.975609757773972</v>
      </c>
      <c r="U19" s="75" t="n">
        <f aca="false">IF(U$5="A",Inputs_Actuals!U232,T19+0*Assumptions!$F$188-U40+IF(S$5="F",S40,0)*Assumptions!$F$189)</f>
        <v>0.975609756323391</v>
      </c>
      <c r="V19" s="75" t="n">
        <f aca="false">IF(V$5="A",Inputs_Actuals!V232,U19+0*Assumptions!$F$188-V40+IF(T$5="F",T40,0)*Assumptions!$F$189)</f>
        <v>0.975609756073783</v>
      </c>
      <c r="W19" s="75" t="n">
        <f aca="false">IF(W$5="A",Inputs_Actuals!W232,V19+0*Assumptions!$F$188-W40+IF(U$5="F",U40,0)*Assumptions!$F$189)</f>
        <v>0.975609756095035</v>
      </c>
      <c r="X19" s="75" t="n">
        <f aca="false">IF(X$5="A",Inputs_Actuals!X232,W19+0*Assumptions!$F$188-X40+IF(V$5="F",V40,0)*Assumptions!$F$189)</f>
        <v>0.97560975609789</v>
      </c>
      <c r="Y19" s="75" t="n">
        <f aca="false">IF(Y$5="A",Inputs_Actuals!Y232,X19+0*Assumptions!$F$188-Y40+IF(W$5="F",W40,0)*Assumptions!$F$189)</f>
        <v>0.975609756097588</v>
      </c>
      <c r="Z19" s="75" t="n">
        <f aca="false">IF(Z$5="A",Inputs_Actuals!Z232,Y19+0*Assumptions!$F$188-Z40+IF(X$5="F",X40,0)*Assumptions!$F$189)</f>
        <v>0.975609756097557</v>
      </c>
      <c r="AA19" s="75" t="n">
        <f aca="false">IF(AA$5="A",Inputs_Actuals!AA232,Z19+0*Assumptions!$F$188-AA40+IF(Y$5="F",Y40,0)*Assumptions!$F$189)</f>
        <v>0.975609756097561</v>
      </c>
      <c r="AB19" s="75" t="n">
        <f aca="false">IF(AB$5="A",Inputs_Actuals!AB232,AA19+0*Assumptions!$F$188-AB40+IF(Z$5="F",Z40,0)*Assumptions!$F$189)</f>
        <v>0.975609756097561</v>
      </c>
    </row>
    <row r="20" customFormat="false" ht="15" hidden="false" customHeight="false" outlineLevel="0" collapsed="false">
      <c r="A20" s="27" t="s">
        <v>1106</v>
      </c>
      <c r="B20" s="63" t="s">
        <v>1095</v>
      </c>
      <c r="C20" s="74" t="n">
        <f aca="false">P20</f>
        <v>0.975617211914063</v>
      </c>
      <c r="D20" s="74" t="n">
        <f aca="false">AB20</f>
        <v>0.975609756097561</v>
      </c>
      <c r="E20" s="75" t="n">
        <f aca="false">IF(E$5="A",Inputs_Actuals!E233,Assumptions!$E$72+0*Assumptions!$F$188-E41)</f>
        <v>1</v>
      </c>
      <c r="F20" s="75" t="n">
        <f aca="false">IF(F$5="A",Inputs_Actuals!F233,E20+0*Assumptions!$F$188-F41)</f>
        <v>1</v>
      </c>
      <c r="G20" s="75" t="n">
        <f aca="false">IF(G$5="A",Inputs_Actuals!G233,F20+0*Assumptions!$F$188-G41+IF(E$5="F",E41,0)*Assumptions!$F$189)</f>
        <v>1</v>
      </c>
      <c r="H20" s="75" t="n">
        <f aca="false">IF(H$5="A",Inputs_Actuals!H233,G20+0*Assumptions!$F$188-H41+IF(F$5="F",F41,0)*Assumptions!$F$189)</f>
        <v>1</v>
      </c>
      <c r="I20" s="75" t="n">
        <f aca="false">IF(I$5="A",Inputs_Actuals!I233,H20+0*Assumptions!$F$188-I41+IF(G$5="F",G41,0)*Assumptions!$F$189)</f>
        <v>1</v>
      </c>
      <c r="J20" s="75" t="n">
        <f aca="false">IF(J$5="A",Inputs_Actuals!J233,I20+0*Assumptions!$F$188-J41+IF(H$5="F",H41,0)*Assumptions!$F$189)</f>
        <v>1</v>
      </c>
      <c r="K20" s="75" t="n">
        <f aca="false">IF(K$5="A",Inputs_Actuals!K233,J20+0*Assumptions!$F$188-K41+IF(I$5="F",I41,0)*Assumptions!$F$189)</f>
        <v>1</v>
      </c>
      <c r="L20" s="75" t="n">
        <f aca="false">IF(L$5="A",Inputs_Actuals!L233,K20+0*Assumptions!$F$188-L41+IF(J$5="F",J41,0)*Assumptions!$F$189)</f>
        <v>1</v>
      </c>
      <c r="M20" s="75" t="n">
        <f aca="false">IF(M$5="A",Inputs_Actuals!M233,L20+0*Assumptions!$F$188-M41+IF(K$5="F",K41,0)*Assumptions!$F$189)</f>
        <v>0.9875</v>
      </c>
      <c r="N20" s="75" t="n">
        <f aca="false">IF(N$5="A",Inputs_Actuals!N233,M20+0*Assumptions!$F$188-N41+IF(L$5="F",L41,0)*Assumptions!$F$189)</f>
        <v>0.97515625</v>
      </c>
      <c r="O20" s="75" t="n">
        <f aca="false">IF(O$5="A",Inputs_Actuals!O233,N20+0*Assumptions!$F$188-O41+IF(M$5="F",M41,0)*Assumptions!$F$189)</f>
        <v>0.975466796875</v>
      </c>
      <c r="P20" s="75" t="n">
        <f aca="false">IF(P$5="A",Inputs_Actuals!P233,O20+0*Assumptions!$F$188-P41+IF(N$5="F",N41,0)*Assumptions!$F$189)</f>
        <v>0.975617211914063</v>
      </c>
      <c r="Q20" s="75" t="n">
        <f aca="false">IF(Q$5="A",Inputs_Actuals!Q233,P20+0*Assumptions!$F$188-Q41+IF(O$5="F",O41,0)*Assumptions!$F$189)</f>
        <v>0.975611449890137</v>
      </c>
      <c r="R20" s="75" t="n">
        <f aca="false">IF(R$5="A",Inputs_Actuals!R233,Q20+0*Assumptions!$F$188-R41+IF(P$5="F",P41,0)*Assumptions!$F$189)</f>
        <v>0.975609641727448</v>
      </c>
      <c r="S20" s="75" t="n">
        <f aca="false">IF(S$5="A",Inputs_Actuals!S233,R20+0*Assumptions!$F$188-S41+IF(Q$5="F",Q41,0)*Assumptions!$F$189)</f>
        <v>0.97560973635478</v>
      </c>
      <c r="T20" s="75" t="n">
        <f aca="false">IF(T$5="A",Inputs_Actuals!T233,S20+0*Assumptions!$F$188-T41+IF(R$5="F",R41,0)*Assumptions!$F$189)</f>
        <v>0.975609757773972</v>
      </c>
      <c r="U20" s="75" t="n">
        <f aca="false">IF(U$5="A",Inputs_Actuals!U233,T20+0*Assumptions!$F$188-U41+IF(S$5="F",S41,0)*Assumptions!$F$189)</f>
        <v>0.975609756323391</v>
      </c>
      <c r="V20" s="75" t="n">
        <f aca="false">IF(V$5="A",Inputs_Actuals!V233,U20+0*Assumptions!$F$188-V41+IF(T$5="F",T41,0)*Assumptions!$F$189)</f>
        <v>0.975609756073783</v>
      </c>
      <c r="W20" s="75" t="n">
        <f aca="false">IF(W$5="A",Inputs_Actuals!W233,V20+0*Assumptions!$F$188-W41+IF(U$5="F",U41,0)*Assumptions!$F$189)</f>
        <v>0.975609756095035</v>
      </c>
      <c r="X20" s="75" t="n">
        <f aca="false">IF(X$5="A",Inputs_Actuals!X233,W20+0*Assumptions!$F$188-X41+IF(V$5="F",V41,0)*Assumptions!$F$189)</f>
        <v>0.97560975609789</v>
      </c>
      <c r="Y20" s="75" t="n">
        <f aca="false">IF(Y$5="A",Inputs_Actuals!Y233,X20+0*Assumptions!$F$188-Y41+IF(W$5="F",W41,0)*Assumptions!$F$189)</f>
        <v>0.975609756097588</v>
      </c>
      <c r="Z20" s="75" t="n">
        <f aca="false">IF(Z$5="A",Inputs_Actuals!Z233,Y20+0*Assumptions!$F$188-Z41+IF(X$5="F",X41,0)*Assumptions!$F$189)</f>
        <v>0.975609756097557</v>
      </c>
      <c r="AA20" s="75" t="n">
        <f aca="false">IF(AA$5="A",Inputs_Actuals!AA233,Z20+0*Assumptions!$F$188-AA41+IF(Y$5="F",Y41,0)*Assumptions!$F$189)</f>
        <v>0.975609756097561</v>
      </c>
      <c r="AB20" s="75" t="n">
        <f aca="false">IF(AB$5="A",Inputs_Actuals!AB233,AA20+0*Assumptions!$F$188-AB41+IF(Z$5="F",Z41,0)*Assumptions!$F$189)</f>
        <v>0.975609756097561</v>
      </c>
    </row>
    <row r="21" customFormat="false" ht="15" hidden="false" customHeight="false" outlineLevel="0" collapsed="false">
      <c r="A21" s="27" t="s">
        <v>1107</v>
      </c>
      <c r="B21" s="63" t="s">
        <v>1095</v>
      </c>
      <c r="C21" s="74" t="n">
        <f aca="false">P21</f>
        <v>1.98019900125</v>
      </c>
      <c r="D21" s="74" t="n">
        <f aca="false">AB21</f>
        <v>1.98019801980198</v>
      </c>
      <c r="E21" s="75" t="n">
        <f aca="false">IF(E$5="A",Inputs_Actuals!E234,Assumptions!$E$73+0*Assumptions!$F$188-E42)</f>
        <v>2</v>
      </c>
      <c r="F21" s="75" t="n">
        <f aca="false">IF(F$5="A",Inputs_Actuals!F234,E21+0*Assumptions!$F$188-F42)</f>
        <v>2</v>
      </c>
      <c r="G21" s="75" t="n">
        <f aca="false">IF(G$5="A",Inputs_Actuals!G234,F21+0*Assumptions!$F$188-G42+IF(E$5="F",E42,0)*Assumptions!$F$189)</f>
        <v>2</v>
      </c>
      <c r="H21" s="75" t="n">
        <f aca="false">IF(H$5="A",Inputs_Actuals!H234,G21+0*Assumptions!$F$188-H42+IF(F$5="F",F42,0)*Assumptions!$F$189)</f>
        <v>2</v>
      </c>
      <c r="I21" s="75" t="n">
        <f aca="false">IF(I$5="A",Inputs_Actuals!I234,H21+0*Assumptions!$F$188-I42+IF(G$5="F",G42,0)*Assumptions!$F$189)</f>
        <v>2</v>
      </c>
      <c r="J21" s="75" t="n">
        <f aca="false">IF(J$5="A",Inputs_Actuals!J234,I21+0*Assumptions!$F$188-J42+IF(H$5="F",H42,0)*Assumptions!$F$189)</f>
        <v>2</v>
      </c>
      <c r="K21" s="75" t="n">
        <f aca="false">IF(K$5="A",Inputs_Actuals!K234,J21+0*Assumptions!$F$188-K42+IF(I$5="F",I42,0)*Assumptions!$F$189)</f>
        <v>2</v>
      </c>
      <c r="L21" s="75" t="n">
        <f aca="false">IF(L$5="A",Inputs_Actuals!L234,K21+0*Assumptions!$F$188-L42+IF(J$5="F",J42,0)*Assumptions!$F$189)</f>
        <v>2</v>
      </c>
      <c r="M21" s="75" t="n">
        <f aca="false">IF(M$5="A",Inputs_Actuals!M234,L21+0*Assumptions!$F$188-M42+IF(K$5="F",K42,0)*Assumptions!$F$189)</f>
        <v>1.99</v>
      </c>
      <c r="N21" s="75" t="n">
        <f aca="false">IF(N$5="A",Inputs_Actuals!N234,M21+0*Assumptions!$F$188-N42+IF(L$5="F",L42,0)*Assumptions!$F$189)</f>
        <v>1.98005</v>
      </c>
      <c r="O21" s="75" t="n">
        <f aca="false">IF(O$5="A",Inputs_Actuals!O234,N21+0*Assumptions!$F$188-O42+IF(M$5="F",M42,0)*Assumptions!$F$189)</f>
        <v>1.98014975</v>
      </c>
      <c r="P21" s="75" t="n">
        <f aca="false">IF(P$5="A",Inputs_Actuals!P234,O21+0*Assumptions!$F$188-P42+IF(N$5="F",N42,0)*Assumptions!$F$189)</f>
        <v>1.98019900125</v>
      </c>
      <c r="Q21" s="75" t="n">
        <f aca="false">IF(Q$5="A",Inputs_Actuals!Q234,P21+0*Assumptions!$F$188-Q42+IF(O$5="F",O42,0)*Assumptions!$F$189)</f>
        <v>1.98019825624375</v>
      </c>
      <c r="R21" s="75" t="n">
        <f aca="false">IF(R$5="A",Inputs_Actuals!R234,Q21+0*Assumptions!$F$188-R42+IF(P$5="F",P42,0)*Assumptions!$F$189)</f>
        <v>1.98019801371253</v>
      </c>
      <c r="S21" s="75" t="n">
        <f aca="false">IF(S$5="A",Inputs_Actuals!S234,R21+0*Assumptions!$F$188-S42+IF(Q$5="F",Q42,0)*Assumptions!$F$189)</f>
        <v>1.98019801865022</v>
      </c>
      <c r="T21" s="75" t="n">
        <f aca="false">IF(T$5="A",Inputs_Actuals!T234,S21+0*Assumptions!$F$188-T42+IF(R$5="F",R42,0)*Assumptions!$F$189)</f>
        <v>1.98019801983819</v>
      </c>
      <c r="U21" s="75" t="n">
        <f aca="false">IF(U$5="A",Inputs_Actuals!U234,T21+0*Assumptions!$F$188-U42+IF(S$5="F",S42,0)*Assumptions!$F$189)</f>
        <v>1.98019801980756</v>
      </c>
      <c r="V21" s="75" t="n">
        <f aca="false">IF(V$5="A",Inputs_Actuals!V234,U21+0*Assumptions!$F$188-V42+IF(T$5="F",T42,0)*Assumptions!$F$189)</f>
        <v>1.98019801980177</v>
      </c>
      <c r="W21" s="75" t="n">
        <f aca="false">IF(W$5="A",Inputs_Actuals!W234,V21+0*Assumptions!$F$188-W42+IF(U$5="F",U42,0)*Assumptions!$F$189)</f>
        <v>1.98019801980195</v>
      </c>
      <c r="X21" s="75" t="n">
        <f aca="false">IF(X$5="A",Inputs_Actuals!X234,W21+0*Assumptions!$F$188-X42+IF(V$5="F",V42,0)*Assumptions!$F$189)</f>
        <v>1.98019801980198</v>
      </c>
      <c r="Y21" s="75" t="n">
        <f aca="false">IF(Y$5="A",Inputs_Actuals!Y234,X21+0*Assumptions!$F$188-Y42+IF(W$5="F",W42,0)*Assumptions!$F$189)</f>
        <v>1.98019801980198</v>
      </c>
      <c r="Z21" s="75" t="n">
        <f aca="false">IF(Z$5="A",Inputs_Actuals!Z234,Y21+0*Assumptions!$F$188-Z42+IF(X$5="F",X42,0)*Assumptions!$F$189)</f>
        <v>1.98019801980198</v>
      </c>
      <c r="AA21" s="75" t="n">
        <f aca="false">IF(AA$5="A",Inputs_Actuals!AA234,Z21+0*Assumptions!$F$188-AA42+IF(Y$5="F",Y42,0)*Assumptions!$F$189)</f>
        <v>1.98019801980198</v>
      </c>
      <c r="AB21" s="75" t="n">
        <f aca="false">IF(AB$5="A",Inputs_Actuals!AB234,AA21+0*Assumptions!$F$188-AB42+IF(Z$5="F",Z42,0)*Assumptions!$F$189)</f>
        <v>1.98019801980198</v>
      </c>
    </row>
    <row r="22" customFormat="false" ht="15" hidden="false" customHeight="false" outlineLevel="0" collapsed="false">
      <c r="A22" s="27" t="s">
        <v>1108</v>
      </c>
      <c r="B22" s="63" t="s">
        <v>1095</v>
      </c>
      <c r="C22" s="74" t="n">
        <f aca="false">P22</f>
        <v>2.970298501875</v>
      </c>
      <c r="D22" s="74" t="n">
        <f aca="false">AB22</f>
        <v>2.97029702970297</v>
      </c>
      <c r="E22" s="75" t="n">
        <f aca="false">IF(E$5="A",Inputs_Actuals!E235,Assumptions!$E$74+0*Assumptions!$F$188-E43)</f>
        <v>3</v>
      </c>
      <c r="F22" s="75" t="n">
        <f aca="false">IF(F$5="A",Inputs_Actuals!F235,E22+0*Assumptions!$F$188-F43)</f>
        <v>3</v>
      </c>
      <c r="G22" s="75" t="n">
        <f aca="false">IF(G$5="A",Inputs_Actuals!G235,F22+0*Assumptions!$F$188-G43+IF(E$5="F",E43,0)*Assumptions!$F$189)</f>
        <v>3</v>
      </c>
      <c r="H22" s="75" t="n">
        <f aca="false">IF(H$5="A",Inputs_Actuals!H235,G22+0*Assumptions!$F$188-H43+IF(F$5="F",F43,0)*Assumptions!$F$189)</f>
        <v>3</v>
      </c>
      <c r="I22" s="75" t="n">
        <f aca="false">IF(I$5="A",Inputs_Actuals!I235,H22+0*Assumptions!$F$188-I43+IF(G$5="F",G43,0)*Assumptions!$F$189)</f>
        <v>3</v>
      </c>
      <c r="J22" s="75" t="n">
        <f aca="false">IF(J$5="A",Inputs_Actuals!J235,I22+0*Assumptions!$F$188-J43+IF(H$5="F",H43,0)*Assumptions!$F$189)</f>
        <v>3</v>
      </c>
      <c r="K22" s="75" t="n">
        <f aca="false">IF(K$5="A",Inputs_Actuals!K235,J22+0*Assumptions!$F$188-K43+IF(I$5="F",I43,0)*Assumptions!$F$189)</f>
        <v>3</v>
      </c>
      <c r="L22" s="75" t="n">
        <f aca="false">IF(L$5="A",Inputs_Actuals!L235,K22+0*Assumptions!$F$188-L43+IF(J$5="F",J43,0)*Assumptions!$F$189)</f>
        <v>3</v>
      </c>
      <c r="M22" s="75" t="n">
        <f aca="false">IF(M$5="A",Inputs_Actuals!M235,L22+0*Assumptions!$F$188-M43+IF(K$5="F",K43,0)*Assumptions!$F$189)</f>
        <v>2.985</v>
      </c>
      <c r="N22" s="75" t="n">
        <f aca="false">IF(N$5="A",Inputs_Actuals!N235,M22+0*Assumptions!$F$188-N43+IF(L$5="F",L43,0)*Assumptions!$F$189)</f>
        <v>2.970075</v>
      </c>
      <c r="O22" s="75" t="n">
        <f aca="false">IF(O$5="A",Inputs_Actuals!O235,N22+0*Assumptions!$F$188-O43+IF(M$5="F",M43,0)*Assumptions!$F$189)</f>
        <v>2.970224625</v>
      </c>
      <c r="P22" s="75" t="n">
        <f aca="false">IF(P$5="A",Inputs_Actuals!P235,O22+0*Assumptions!$F$188-P43+IF(N$5="F",N43,0)*Assumptions!$F$189)</f>
        <v>2.970298501875</v>
      </c>
      <c r="Q22" s="75" t="n">
        <f aca="false">IF(Q$5="A",Inputs_Actuals!Q235,P22+0*Assumptions!$F$188-Q43+IF(O$5="F",O43,0)*Assumptions!$F$189)</f>
        <v>2.97029738436563</v>
      </c>
      <c r="R22" s="75" t="n">
        <f aca="false">IF(R$5="A",Inputs_Actuals!R235,Q22+0*Assumptions!$F$188-R43+IF(P$5="F",P43,0)*Assumptions!$F$189)</f>
        <v>2.9702970205688</v>
      </c>
      <c r="S22" s="75" t="n">
        <f aca="false">IF(S$5="A",Inputs_Actuals!S235,R22+0*Assumptions!$F$188-S43+IF(Q$5="F",Q43,0)*Assumptions!$F$189)</f>
        <v>2.97029702797533</v>
      </c>
      <c r="T22" s="75" t="n">
        <f aca="false">IF(T$5="A",Inputs_Actuals!T235,S22+0*Assumptions!$F$188-T43+IF(R$5="F",R43,0)*Assumptions!$F$189)</f>
        <v>2.97029702975728</v>
      </c>
      <c r="U22" s="75" t="n">
        <f aca="false">IF(U$5="A",Inputs_Actuals!U235,T22+0*Assumptions!$F$188-U43+IF(S$5="F",S43,0)*Assumptions!$F$189)</f>
        <v>2.97029702971134</v>
      </c>
      <c r="V22" s="75" t="n">
        <f aca="false">IF(V$5="A",Inputs_Actuals!V235,U22+0*Assumptions!$F$188-V43+IF(T$5="F",T43,0)*Assumptions!$F$189)</f>
        <v>2.97029702970266</v>
      </c>
      <c r="W22" s="75" t="n">
        <f aca="false">IF(W$5="A",Inputs_Actuals!W235,V22+0*Assumptions!$F$188-W43+IF(U$5="F",U43,0)*Assumptions!$F$189)</f>
        <v>2.97029702970293</v>
      </c>
      <c r="X22" s="75" t="n">
        <f aca="false">IF(X$5="A",Inputs_Actuals!X235,W22+0*Assumptions!$F$188-X43+IF(V$5="F",V43,0)*Assumptions!$F$189)</f>
        <v>2.97029702970297</v>
      </c>
      <c r="Y22" s="75" t="n">
        <f aca="false">IF(Y$5="A",Inputs_Actuals!Y235,X22+0*Assumptions!$F$188-Y43+IF(W$5="F",W43,0)*Assumptions!$F$189)</f>
        <v>2.97029702970297</v>
      </c>
      <c r="Z22" s="75" t="n">
        <f aca="false">IF(Z$5="A",Inputs_Actuals!Z235,Y22+0*Assumptions!$F$188-Z43+IF(X$5="F",X43,0)*Assumptions!$F$189)</f>
        <v>2.97029702970297</v>
      </c>
      <c r="AA22" s="75" t="n">
        <f aca="false">IF(AA$5="A",Inputs_Actuals!AA235,Z22+0*Assumptions!$F$188-AA43+IF(Y$5="F",Y43,0)*Assumptions!$F$189)</f>
        <v>2.97029702970297</v>
      </c>
      <c r="AB22" s="75" t="n">
        <f aca="false">IF(AB$5="A",Inputs_Actuals!AB235,AA22+0*Assumptions!$F$188-AB43+IF(Z$5="F",Z43,0)*Assumptions!$F$189)</f>
        <v>2.97029702970297</v>
      </c>
    </row>
    <row r="23" customFormat="false" ht="15" hidden="false" customHeight="false" outlineLevel="0" collapsed="false">
      <c r="A23" s="27" t="s">
        <v>1109</v>
      </c>
      <c r="B23" s="63" t="s">
        <v>1095</v>
      </c>
      <c r="C23" s="74" t="n">
        <f aca="false">P23</f>
        <v>0.990099500625</v>
      </c>
      <c r="D23" s="74" t="n">
        <f aca="false">AB23</f>
        <v>0.99009900990099</v>
      </c>
      <c r="E23" s="75" t="n">
        <f aca="false">IF(E$5="A",Inputs_Actuals!E236,Assumptions!$E$75+0*Assumptions!$F$188-E44)</f>
        <v>1</v>
      </c>
      <c r="F23" s="75" t="n">
        <f aca="false">IF(F$5="A",Inputs_Actuals!F236,E23+0*Assumptions!$F$188-F44)</f>
        <v>1</v>
      </c>
      <c r="G23" s="75" t="n">
        <f aca="false">IF(G$5="A",Inputs_Actuals!G236,F23+0*Assumptions!$F$188-G44+IF(E$5="F",E44,0)*Assumptions!$F$189)</f>
        <v>1</v>
      </c>
      <c r="H23" s="75" t="n">
        <f aca="false">IF(H$5="A",Inputs_Actuals!H236,G23+0*Assumptions!$F$188-H44+IF(F$5="F",F44,0)*Assumptions!$F$189)</f>
        <v>1</v>
      </c>
      <c r="I23" s="75" t="n">
        <f aca="false">IF(I$5="A",Inputs_Actuals!I236,H23+0*Assumptions!$F$188-I44+IF(G$5="F",G44,0)*Assumptions!$F$189)</f>
        <v>1</v>
      </c>
      <c r="J23" s="75" t="n">
        <f aca="false">IF(J$5="A",Inputs_Actuals!J236,I23+0*Assumptions!$F$188-J44+IF(H$5="F",H44,0)*Assumptions!$F$189)</f>
        <v>1</v>
      </c>
      <c r="K23" s="75" t="n">
        <f aca="false">IF(K$5="A",Inputs_Actuals!K236,J23+0*Assumptions!$F$188-K44+IF(I$5="F",I44,0)*Assumptions!$F$189)</f>
        <v>1</v>
      </c>
      <c r="L23" s="75" t="n">
        <f aca="false">IF(L$5="A",Inputs_Actuals!L236,K23+0*Assumptions!$F$188-L44+IF(J$5="F",J44,0)*Assumptions!$F$189)</f>
        <v>1</v>
      </c>
      <c r="M23" s="75" t="n">
        <f aca="false">IF(M$5="A",Inputs_Actuals!M236,L23+0*Assumptions!$F$188-M44+IF(K$5="F",K44,0)*Assumptions!$F$189)</f>
        <v>0.995</v>
      </c>
      <c r="N23" s="75" t="n">
        <f aca="false">IF(N$5="A",Inputs_Actuals!N236,M23+0*Assumptions!$F$188-N44+IF(L$5="F",L44,0)*Assumptions!$F$189)</f>
        <v>0.990025</v>
      </c>
      <c r="O23" s="75" t="n">
        <f aca="false">IF(O$5="A",Inputs_Actuals!O236,N23+0*Assumptions!$F$188-O44+IF(M$5="F",M44,0)*Assumptions!$F$189)</f>
        <v>0.990074875</v>
      </c>
      <c r="P23" s="75" t="n">
        <f aca="false">IF(P$5="A",Inputs_Actuals!P236,O23+0*Assumptions!$F$188-P44+IF(N$5="F",N44,0)*Assumptions!$F$189)</f>
        <v>0.990099500625</v>
      </c>
      <c r="Q23" s="75" t="n">
        <f aca="false">IF(Q$5="A",Inputs_Actuals!Q236,P23+0*Assumptions!$F$188-Q44+IF(O$5="F",O44,0)*Assumptions!$F$189)</f>
        <v>0.990099128121875</v>
      </c>
      <c r="R23" s="75" t="n">
        <f aca="false">IF(R$5="A",Inputs_Actuals!R236,Q23+0*Assumptions!$F$188-R44+IF(P$5="F",P44,0)*Assumptions!$F$189)</f>
        <v>0.990099006856266</v>
      </c>
      <c r="S23" s="75" t="n">
        <f aca="false">IF(S$5="A",Inputs_Actuals!S236,R23+0*Assumptions!$F$188-S44+IF(Q$5="F",Q44,0)*Assumptions!$F$189)</f>
        <v>0.990099009325109</v>
      </c>
      <c r="T23" s="75" t="n">
        <f aca="false">IF(T$5="A",Inputs_Actuals!T236,S23+0*Assumptions!$F$188-T44+IF(R$5="F",R44,0)*Assumptions!$F$189)</f>
        <v>0.990099009919093</v>
      </c>
      <c r="U23" s="75" t="n">
        <f aca="false">IF(U$5="A",Inputs_Actuals!U236,T23+0*Assumptions!$F$188-U44+IF(S$5="F",S44,0)*Assumptions!$F$189)</f>
        <v>0.990099009903779</v>
      </c>
      <c r="V23" s="75" t="n">
        <f aca="false">IF(V$5="A",Inputs_Actuals!V236,U23+0*Assumptions!$F$188-V44+IF(T$5="F",T44,0)*Assumptions!$F$189)</f>
        <v>0.990099009900886</v>
      </c>
      <c r="W23" s="75" t="n">
        <f aca="false">IF(W$5="A",Inputs_Actuals!W236,V23+0*Assumptions!$F$188-W44+IF(U$5="F",U44,0)*Assumptions!$F$189)</f>
        <v>0.990099009900977</v>
      </c>
      <c r="X23" s="75" t="n">
        <f aca="false">IF(X$5="A",Inputs_Actuals!X236,W23+0*Assumptions!$F$188-X44+IF(V$5="F",V44,0)*Assumptions!$F$189)</f>
        <v>0.990099009900991</v>
      </c>
      <c r="Y23" s="75" t="n">
        <f aca="false">IF(Y$5="A",Inputs_Actuals!Y236,X23+0*Assumptions!$F$188-Y44+IF(W$5="F",W44,0)*Assumptions!$F$189)</f>
        <v>0.99009900990099</v>
      </c>
      <c r="Z23" s="75" t="n">
        <f aca="false">IF(Z$5="A",Inputs_Actuals!Z236,Y23+0*Assumptions!$F$188-Z44+IF(X$5="F",X44,0)*Assumptions!$F$189)</f>
        <v>0.99009900990099</v>
      </c>
      <c r="AA23" s="75" t="n">
        <f aca="false">IF(AA$5="A",Inputs_Actuals!AA236,Z23+0*Assumptions!$F$188-AA44+IF(Y$5="F",Y44,0)*Assumptions!$F$189)</f>
        <v>0.99009900990099</v>
      </c>
      <c r="AB23" s="75" t="n">
        <f aca="false">IF(AB$5="A",Inputs_Actuals!AB236,AA23+0*Assumptions!$F$188-AB44+IF(Z$5="F",Z44,0)*Assumptions!$F$189)</f>
        <v>0.99009900990099</v>
      </c>
    </row>
    <row r="24" customFormat="false" ht="15" hidden="false" customHeight="false" outlineLevel="0" collapsed="false">
      <c r="A24" s="27" t="s">
        <v>1110</v>
      </c>
      <c r="B24" s="63" t="s">
        <v>1095</v>
      </c>
      <c r="C24" s="74" t="n">
        <f aca="false">P24</f>
        <v>1.98019900125</v>
      </c>
      <c r="D24" s="74" t="n">
        <f aca="false">AB24</f>
        <v>1.98019801980198</v>
      </c>
      <c r="E24" s="75" t="n">
        <f aca="false">IF(E$5="A",Inputs_Actuals!E237,Assumptions!$E$76+0*Assumptions!$F$188-E45)</f>
        <v>2</v>
      </c>
      <c r="F24" s="75" t="n">
        <f aca="false">IF(F$5="A",Inputs_Actuals!F237,E24+0*Assumptions!$F$188-F45)</f>
        <v>2</v>
      </c>
      <c r="G24" s="75" t="n">
        <f aca="false">IF(G$5="A",Inputs_Actuals!G237,F24+0*Assumptions!$F$188-G45+IF(E$5="F",E45,0)*Assumptions!$F$189)</f>
        <v>2</v>
      </c>
      <c r="H24" s="75" t="n">
        <f aca="false">IF(H$5="A",Inputs_Actuals!H237,G24+0*Assumptions!$F$188-H45+IF(F$5="F",F45,0)*Assumptions!$F$189)</f>
        <v>2</v>
      </c>
      <c r="I24" s="75" t="n">
        <f aca="false">IF(I$5="A",Inputs_Actuals!I237,H24+0*Assumptions!$F$188-I45+IF(G$5="F",G45,0)*Assumptions!$F$189)</f>
        <v>2</v>
      </c>
      <c r="J24" s="75" t="n">
        <f aca="false">IF(J$5="A",Inputs_Actuals!J237,I24+0*Assumptions!$F$188-J45+IF(H$5="F",H45,0)*Assumptions!$F$189)</f>
        <v>2</v>
      </c>
      <c r="K24" s="75" t="n">
        <f aca="false">IF(K$5="A",Inputs_Actuals!K237,J24+0*Assumptions!$F$188-K45+IF(I$5="F",I45,0)*Assumptions!$F$189)</f>
        <v>2</v>
      </c>
      <c r="L24" s="75" t="n">
        <f aca="false">IF(L$5="A",Inputs_Actuals!L237,K24+0*Assumptions!$F$188-L45+IF(J$5="F",J45,0)*Assumptions!$F$189)</f>
        <v>2</v>
      </c>
      <c r="M24" s="75" t="n">
        <f aca="false">IF(M$5="A",Inputs_Actuals!M237,L24+0*Assumptions!$F$188-M45+IF(K$5="F",K45,0)*Assumptions!$F$189)</f>
        <v>1.99</v>
      </c>
      <c r="N24" s="75" t="n">
        <f aca="false">IF(N$5="A",Inputs_Actuals!N237,M24+0*Assumptions!$F$188-N45+IF(L$5="F",L45,0)*Assumptions!$F$189)</f>
        <v>1.98005</v>
      </c>
      <c r="O24" s="75" t="n">
        <f aca="false">IF(O$5="A",Inputs_Actuals!O237,N24+0*Assumptions!$F$188-O45+IF(M$5="F",M45,0)*Assumptions!$F$189)</f>
        <v>1.98014975</v>
      </c>
      <c r="P24" s="75" t="n">
        <f aca="false">IF(P$5="A",Inputs_Actuals!P237,O24+0*Assumptions!$F$188-P45+IF(N$5="F",N45,0)*Assumptions!$F$189)</f>
        <v>1.98019900125</v>
      </c>
      <c r="Q24" s="75" t="n">
        <f aca="false">IF(Q$5="A",Inputs_Actuals!Q237,P24+0*Assumptions!$F$188-Q45+IF(O$5="F",O45,0)*Assumptions!$F$189)</f>
        <v>1.98019825624375</v>
      </c>
      <c r="R24" s="75" t="n">
        <f aca="false">IF(R$5="A",Inputs_Actuals!R237,Q24+0*Assumptions!$F$188-R45+IF(P$5="F",P45,0)*Assumptions!$F$189)</f>
        <v>1.98019801371253</v>
      </c>
      <c r="S24" s="75" t="n">
        <f aca="false">IF(S$5="A",Inputs_Actuals!S237,R24+0*Assumptions!$F$188-S45+IF(Q$5="F",Q45,0)*Assumptions!$F$189)</f>
        <v>1.98019801865022</v>
      </c>
      <c r="T24" s="75" t="n">
        <f aca="false">IF(T$5="A",Inputs_Actuals!T237,S24+0*Assumptions!$F$188-T45+IF(R$5="F",R45,0)*Assumptions!$F$189)</f>
        <v>1.98019801983819</v>
      </c>
      <c r="U24" s="75" t="n">
        <f aca="false">IF(U$5="A",Inputs_Actuals!U237,T24+0*Assumptions!$F$188-U45+IF(S$5="F",S45,0)*Assumptions!$F$189)</f>
        <v>1.98019801980756</v>
      </c>
      <c r="V24" s="75" t="n">
        <f aca="false">IF(V$5="A",Inputs_Actuals!V237,U24+0*Assumptions!$F$188-V45+IF(T$5="F",T45,0)*Assumptions!$F$189)</f>
        <v>1.98019801980177</v>
      </c>
      <c r="W24" s="75" t="n">
        <f aca="false">IF(W$5="A",Inputs_Actuals!W237,V24+0*Assumptions!$F$188-W45+IF(U$5="F",U45,0)*Assumptions!$F$189)</f>
        <v>1.98019801980195</v>
      </c>
      <c r="X24" s="75" t="n">
        <f aca="false">IF(X$5="A",Inputs_Actuals!X237,W24+0*Assumptions!$F$188-X45+IF(V$5="F",V45,0)*Assumptions!$F$189)</f>
        <v>1.98019801980198</v>
      </c>
      <c r="Y24" s="75" t="n">
        <f aca="false">IF(Y$5="A",Inputs_Actuals!Y237,X24+0*Assumptions!$F$188-Y45+IF(W$5="F",W45,0)*Assumptions!$F$189)</f>
        <v>1.98019801980198</v>
      </c>
      <c r="Z24" s="75" t="n">
        <f aca="false">IF(Z$5="A",Inputs_Actuals!Z237,Y24+0*Assumptions!$F$188-Z45+IF(X$5="F",X45,0)*Assumptions!$F$189)</f>
        <v>1.98019801980198</v>
      </c>
      <c r="AA24" s="75" t="n">
        <f aca="false">IF(AA$5="A",Inputs_Actuals!AA237,Z24+0*Assumptions!$F$188-AA45+IF(Y$5="F",Y45,0)*Assumptions!$F$189)</f>
        <v>1.98019801980198</v>
      </c>
      <c r="AB24" s="75" t="n">
        <f aca="false">IF(AB$5="A",Inputs_Actuals!AB237,AA24+0*Assumptions!$F$188-AB45+IF(Z$5="F",Z45,0)*Assumptions!$F$189)</f>
        <v>1.98019801980198</v>
      </c>
    </row>
    <row r="25" customFormat="false" ht="15" hidden="false" customHeight="false" outlineLevel="0" collapsed="false">
      <c r="A25" s="27" t="s">
        <v>1111</v>
      </c>
      <c r="B25" s="63" t="s">
        <v>1095</v>
      </c>
      <c r="C25" s="74" t="n">
        <f aca="false">P25</f>
        <v>0.990099500625</v>
      </c>
      <c r="D25" s="74" t="n">
        <f aca="false">AB25</f>
        <v>0.99009900990099</v>
      </c>
      <c r="E25" s="75" t="n">
        <f aca="false">IF(E$5="A",Inputs_Actuals!E238,Assumptions!$E$77+0*Assumptions!$F$188-E46)</f>
        <v>1</v>
      </c>
      <c r="F25" s="75" t="n">
        <f aca="false">IF(F$5="A",Inputs_Actuals!F238,E25+0*Assumptions!$F$188-F46)</f>
        <v>1</v>
      </c>
      <c r="G25" s="75" t="n">
        <f aca="false">IF(G$5="A",Inputs_Actuals!G238,F25+0*Assumptions!$F$188-G46+IF(E$5="F",E46,0)*Assumptions!$F$189)</f>
        <v>1</v>
      </c>
      <c r="H25" s="75" t="n">
        <f aca="false">IF(H$5="A",Inputs_Actuals!H238,G25+0*Assumptions!$F$188-H46+IF(F$5="F",F46,0)*Assumptions!$F$189)</f>
        <v>1</v>
      </c>
      <c r="I25" s="75" t="n">
        <f aca="false">IF(I$5="A",Inputs_Actuals!I238,H25+0*Assumptions!$F$188-I46+IF(G$5="F",G46,0)*Assumptions!$F$189)</f>
        <v>1</v>
      </c>
      <c r="J25" s="75" t="n">
        <f aca="false">IF(J$5="A",Inputs_Actuals!J238,I25+0*Assumptions!$F$188-J46+IF(H$5="F",H46,0)*Assumptions!$F$189)</f>
        <v>1</v>
      </c>
      <c r="K25" s="75" t="n">
        <f aca="false">IF(K$5="A",Inputs_Actuals!K238,J25+0*Assumptions!$F$188-K46+IF(I$5="F",I46,0)*Assumptions!$F$189)</f>
        <v>1</v>
      </c>
      <c r="L25" s="75" t="n">
        <f aca="false">IF(L$5="A",Inputs_Actuals!L238,K25+0*Assumptions!$F$188-L46+IF(J$5="F",J46,0)*Assumptions!$F$189)</f>
        <v>1</v>
      </c>
      <c r="M25" s="75" t="n">
        <f aca="false">IF(M$5="A",Inputs_Actuals!M238,L25+0*Assumptions!$F$188-M46+IF(K$5="F",K46,0)*Assumptions!$F$189)</f>
        <v>0.995</v>
      </c>
      <c r="N25" s="75" t="n">
        <f aca="false">IF(N$5="A",Inputs_Actuals!N238,M25+0*Assumptions!$F$188-N46+IF(L$5="F",L46,0)*Assumptions!$F$189)</f>
        <v>0.990025</v>
      </c>
      <c r="O25" s="75" t="n">
        <f aca="false">IF(O$5="A",Inputs_Actuals!O238,N25+0*Assumptions!$F$188-O46+IF(M$5="F",M46,0)*Assumptions!$F$189)</f>
        <v>0.990074875</v>
      </c>
      <c r="P25" s="75" t="n">
        <f aca="false">IF(P$5="A",Inputs_Actuals!P238,O25+0*Assumptions!$F$188-P46+IF(N$5="F",N46,0)*Assumptions!$F$189)</f>
        <v>0.990099500625</v>
      </c>
      <c r="Q25" s="75" t="n">
        <f aca="false">IF(Q$5="A",Inputs_Actuals!Q238,P25+0*Assumptions!$F$188-Q46+IF(O$5="F",O46,0)*Assumptions!$F$189)</f>
        <v>0.990099128121875</v>
      </c>
      <c r="R25" s="75" t="n">
        <f aca="false">IF(R$5="A",Inputs_Actuals!R238,Q25+0*Assumptions!$F$188-R46+IF(P$5="F",P46,0)*Assumptions!$F$189)</f>
        <v>0.990099006856266</v>
      </c>
      <c r="S25" s="75" t="n">
        <f aca="false">IF(S$5="A",Inputs_Actuals!S238,R25+0*Assumptions!$F$188-S46+IF(Q$5="F",Q46,0)*Assumptions!$F$189)</f>
        <v>0.990099009325109</v>
      </c>
      <c r="T25" s="75" t="n">
        <f aca="false">IF(T$5="A",Inputs_Actuals!T238,S25+0*Assumptions!$F$188-T46+IF(R$5="F",R46,0)*Assumptions!$F$189)</f>
        <v>0.990099009919093</v>
      </c>
      <c r="U25" s="75" t="n">
        <f aca="false">IF(U$5="A",Inputs_Actuals!U238,T25+0*Assumptions!$F$188-U46+IF(S$5="F",S46,0)*Assumptions!$F$189)</f>
        <v>0.990099009903779</v>
      </c>
      <c r="V25" s="75" t="n">
        <f aca="false">IF(V$5="A",Inputs_Actuals!V238,U25+0*Assumptions!$F$188-V46+IF(T$5="F",T46,0)*Assumptions!$F$189)</f>
        <v>0.990099009900886</v>
      </c>
      <c r="W25" s="75" t="n">
        <f aca="false">IF(W$5="A",Inputs_Actuals!W238,V25+0*Assumptions!$F$188-W46+IF(U$5="F",U46,0)*Assumptions!$F$189)</f>
        <v>0.990099009900977</v>
      </c>
      <c r="X25" s="75" t="n">
        <f aca="false">IF(X$5="A",Inputs_Actuals!X238,W25+0*Assumptions!$F$188-X46+IF(V$5="F",V46,0)*Assumptions!$F$189)</f>
        <v>0.990099009900991</v>
      </c>
      <c r="Y25" s="75" t="n">
        <f aca="false">IF(Y$5="A",Inputs_Actuals!Y238,X25+0*Assumptions!$F$188-Y46+IF(W$5="F",W46,0)*Assumptions!$F$189)</f>
        <v>0.99009900990099</v>
      </c>
      <c r="Z25" s="75" t="n">
        <f aca="false">IF(Z$5="A",Inputs_Actuals!Z238,Y25+0*Assumptions!$F$188-Z46+IF(X$5="F",X46,0)*Assumptions!$F$189)</f>
        <v>0.99009900990099</v>
      </c>
      <c r="AA25" s="75" t="n">
        <f aca="false">IF(AA$5="A",Inputs_Actuals!AA238,Z25+0*Assumptions!$F$188-AA46+IF(Y$5="F",Y46,0)*Assumptions!$F$189)</f>
        <v>0.99009900990099</v>
      </c>
      <c r="AB25" s="75" t="n">
        <f aca="false">IF(AB$5="A",Inputs_Actuals!AB238,AA25+0*Assumptions!$F$188-AB46+IF(Z$5="F",Z46,0)*Assumptions!$F$189)</f>
        <v>0.99009900990099</v>
      </c>
    </row>
    <row r="26" customFormat="false" ht="15" hidden="false" customHeight="false" outlineLevel="0" collapsed="false">
      <c r="A26" s="59" t="s">
        <v>1112</v>
      </c>
      <c r="B26" s="60"/>
      <c r="C26" s="123" t="n">
        <f aca="false">P26</f>
        <v>71.5451917372025</v>
      </c>
      <c r="D26" s="123" t="n">
        <f aca="false">AB26</f>
        <v>78.3689970117048</v>
      </c>
      <c r="E26" s="123" t="n">
        <f aca="false">SUM(E9:E25)</f>
        <v>68</v>
      </c>
      <c r="F26" s="123" t="n">
        <f aca="false">SUM(F9:F25)</f>
        <v>69</v>
      </c>
      <c r="G26" s="123" t="n">
        <f aca="false">SUM(G9:G25)</f>
        <v>69</v>
      </c>
      <c r="H26" s="123" t="n">
        <f aca="false">SUM(H9:H25)</f>
        <v>68</v>
      </c>
      <c r="I26" s="123" t="n">
        <f aca="false">SUM(I9:I25)</f>
        <v>67</v>
      </c>
      <c r="J26" s="123" t="n">
        <f aca="false">SUM(J9:J25)</f>
        <v>67</v>
      </c>
      <c r="K26" s="123" t="n">
        <f aca="false">SUM(K9:K25)</f>
        <v>68</v>
      </c>
      <c r="L26" s="123" t="n">
        <f aca="false">SUM(L9:L25)</f>
        <v>68</v>
      </c>
      <c r="M26" s="123" t="n">
        <f aca="false">SUM(M9:M25)</f>
        <v>67.3041666666667</v>
      </c>
      <c r="N26" s="123" t="n">
        <f aca="false">SUM(N9:N25)</f>
        <v>69.6158631944444</v>
      </c>
      <c r="O26" s="123" t="n">
        <f aca="false">SUM(O9:O25)</f>
        <v>71.595838666088</v>
      </c>
      <c r="P26" s="123" t="n">
        <f aca="false">SUM(P9:P25)</f>
        <v>71.5451917372025</v>
      </c>
      <c r="Q26" s="123" t="n">
        <f aca="false">SUM(Q9:Q25)</f>
        <v>75.5226936129747</v>
      </c>
      <c r="R26" s="123" t="n">
        <f aca="false">SUM(R9:R25)</f>
        <v>75.4793837764785</v>
      </c>
      <c r="S26" s="123" t="n">
        <f aca="false">SUM(S9:S25)</f>
        <v>76.4359674245465</v>
      </c>
      <c r="T26" s="123" t="n">
        <f aca="false">SUM(T9:T25)</f>
        <v>77.4252779223168</v>
      </c>
      <c r="U26" s="123" t="n">
        <f aca="false">SUM(U9:U25)</f>
        <v>77.4025587668728</v>
      </c>
      <c r="V26" s="123" t="n">
        <f aca="false">SUM(V9:V25)</f>
        <v>78.3912821705902</v>
      </c>
      <c r="W26" s="123" t="n">
        <f aca="false">SUM(W9:W25)</f>
        <v>78.3800122204693</v>
      </c>
      <c r="X26" s="123" t="n">
        <f aca="false">SUM(X9:X25)</f>
        <v>78.3686085955961</v>
      </c>
      <c r="Y26" s="123" t="n">
        <f aca="false">SUM(Y9:Y25)</f>
        <v>78.3688731202954</v>
      </c>
      <c r="Z26" s="123" t="n">
        <f aca="false">SUM(Z9:Z25)</f>
        <v>78.3690030764451</v>
      </c>
      <c r="AA26" s="123" t="n">
        <f aca="false">SUM(AA9:AA25)</f>
        <v>78.368998474166</v>
      </c>
      <c r="AB26" s="123" t="n">
        <f aca="false">SUM(AB9:AB25)</f>
        <v>78.3689970117048</v>
      </c>
    </row>
    <row r="27" customFormat="false" ht="15" hidden="false" customHeight="false" outlineLevel="0" collapsed="false">
      <c r="A27" s="27" t="s">
        <v>1113</v>
      </c>
      <c r="B27" s="63"/>
      <c r="C27" s="74" t="n">
        <f aca="false">P27</f>
        <v>41.0636517780633</v>
      </c>
      <c r="D27" s="74" t="n">
        <f aca="false">AB27</f>
        <v>45.9283386764027</v>
      </c>
      <c r="E27" s="86" t="n">
        <f aca="false">E9+E10+E11+E12+E13</f>
        <v>39</v>
      </c>
      <c r="F27" s="86" t="n">
        <f aca="false">F9+F10+F11+F12+F13</f>
        <v>39</v>
      </c>
      <c r="G27" s="86" t="n">
        <f aca="false">G9+G10+G11+G12+G13</f>
        <v>38</v>
      </c>
      <c r="H27" s="86" t="n">
        <f aca="false">H9+H10+H11+H12+H13</f>
        <v>37</v>
      </c>
      <c r="I27" s="86" t="n">
        <f aca="false">I9+I10+I11+I12+I13</f>
        <v>36</v>
      </c>
      <c r="J27" s="86" t="n">
        <f aca="false">J9+J10+J11+J12+J13</f>
        <v>36</v>
      </c>
      <c r="K27" s="86" t="n">
        <f aca="false">K9+K10+K11+K12+K13</f>
        <v>37</v>
      </c>
      <c r="L27" s="86" t="n">
        <f aca="false">L9+L10+L11+L12+L13</f>
        <v>37</v>
      </c>
      <c r="M27" s="86" t="n">
        <f aca="false">M9+M10+M11+M12+M13</f>
        <v>36.5683333333333</v>
      </c>
      <c r="N27" s="86" t="n">
        <f aca="false">N9+N10+N11+N12+N13</f>
        <v>39.1417027777778</v>
      </c>
      <c r="O27" s="86" t="n">
        <f aca="false">O9+O10+O11+O12+O13</f>
        <v>41.1167162453704</v>
      </c>
      <c r="P27" s="86" t="n">
        <f aca="false">P9+P10+P11+P12+P13</f>
        <v>41.0636517780633</v>
      </c>
      <c r="Q27" s="86" t="n">
        <f aca="false">Q9+Q10+Q11+Q12+Q13</f>
        <v>43.0412290397266</v>
      </c>
      <c r="R27" s="86" t="n">
        <f aca="false">R9+R10+R11+R12+R13</f>
        <v>43.0187763904591</v>
      </c>
      <c r="S27" s="86" t="n">
        <f aca="false">S9+S10+S11+S12+S13</f>
        <v>43.9959666033145</v>
      </c>
      <c r="T27" s="86" t="n">
        <f aca="false">T9+T10+T11+T12+T13</f>
        <v>44.984827998406</v>
      </c>
      <c r="U27" s="86" t="n">
        <f aca="false">U9+U10+U11+U12+U13</f>
        <v>44.9618907296466</v>
      </c>
      <c r="V27" s="86" t="n">
        <f aca="false">V9+V10+V11+V12+V13</f>
        <v>45.9506216148394</v>
      </c>
      <c r="W27" s="86" t="n">
        <f aca="false">W9+W10+W11+W12+W13</f>
        <v>45.9393540226477</v>
      </c>
      <c r="X27" s="86" t="n">
        <f aca="false">X9+X10+X11+X12+X13</f>
        <v>45.9279502842293</v>
      </c>
      <c r="Y27" s="86" t="n">
        <f aca="false">Y9+Y10+Y11+Y12+Y13</f>
        <v>45.9282147830864</v>
      </c>
      <c r="Z27" s="86" t="n">
        <f aca="false">Z9+Z10+Z11+Z12+Z13</f>
        <v>45.9283447408813</v>
      </c>
      <c r="AA27" s="86" t="n">
        <f aca="false">AA9+AA10+AA11+AA12+AA13</f>
        <v>45.928340138887</v>
      </c>
      <c r="AB27" s="86" t="n">
        <f aca="false">AB9+AB10+AB11+AB12+AB13</f>
        <v>45.9283386764027</v>
      </c>
    </row>
    <row r="28" customFormat="false" ht="15" hidden="false" customHeight="false" outlineLevel="0" collapsed="false">
      <c r="A28" s="27" t="s">
        <v>991</v>
      </c>
      <c r="B28" s="63"/>
      <c r="C28" s="74" t="n">
        <f aca="false">P28</f>
        <v>12.7869144145448</v>
      </c>
      <c r="D28" s="74" t="n">
        <f aca="false">AB28</f>
        <v>13.7704918032784</v>
      </c>
      <c r="E28" s="86" t="n">
        <f aca="false">E15+E16</f>
        <v>12</v>
      </c>
      <c r="F28" s="86" t="n">
        <f aca="false">F15+F16</f>
        <v>13</v>
      </c>
      <c r="G28" s="86" t="n">
        <f aca="false">G15+G16</f>
        <v>13</v>
      </c>
      <c r="H28" s="86" t="n">
        <f aca="false">H15+H16</f>
        <v>13</v>
      </c>
      <c r="I28" s="86" t="n">
        <f aca="false">I15+I16</f>
        <v>13</v>
      </c>
      <c r="J28" s="86" t="n">
        <f aca="false">J15+J16</f>
        <v>13</v>
      </c>
      <c r="K28" s="86" t="n">
        <f aca="false">K15+K16</f>
        <v>13</v>
      </c>
      <c r="L28" s="86" t="n">
        <f aca="false">L15+L16</f>
        <v>13</v>
      </c>
      <c r="M28" s="86" t="n">
        <f aca="false">M15+M16</f>
        <v>12.8916666666667</v>
      </c>
      <c r="N28" s="86" t="n">
        <f aca="false">N15+N16</f>
        <v>12.7842361111111</v>
      </c>
      <c r="O28" s="86" t="n">
        <f aca="false">O15+O16</f>
        <v>12.7860341435185</v>
      </c>
      <c r="P28" s="86" t="n">
        <f aca="false">P15+P16</f>
        <v>12.7869144145448</v>
      </c>
      <c r="Q28" s="86" t="n">
        <f aca="false">Q15+Q16</f>
        <v>13.7868920953495</v>
      </c>
      <c r="R28" s="86" t="n">
        <f aca="false">R15+R16</f>
        <v>13.7785516124175</v>
      </c>
      <c r="S28" s="86" t="n">
        <f aca="false">S15+S16</f>
        <v>13.7702879691019</v>
      </c>
      <c r="T28" s="86" t="n">
        <f aca="false">T15+T16</f>
        <v>13.7704263368207</v>
      </c>
      <c r="U28" s="86" t="n">
        <f aca="false">U15+U16</f>
        <v>13.7704940474506</v>
      </c>
      <c r="V28" s="86" t="n">
        <f aca="false">V15+V16</f>
        <v>13.7704923301311</v>
      </c>
      <c r="W28" s="86" t="n">
        <f aca="false">W15+W16</f>
        <v>13.7704917801868</v>
      </c>
      <c r="X28" s="86" t="n">
        <f aca="false">X15+X16</f>
        <v>13.7704917990807</v>
      </c>
      <c r="Y28" s="86" t="n">
        <f aca="false">Y15+Y16</f>
        <v>13.7704918035061</v>
      </c>
      <c r="Z28" s="86" t="n">
        <f aca="false">Z15+Z16</f>
        <v>13.7704918033118</v>
      </c>
      <c r="AA28" s="86" t="n">
        <f aca="false">AA15+AA16</f>
        <v>13.7704918032765</v>
      </c>
      <c r="AB28" s="86" t="n">
        <f aca="false">AB15+AB16</f>
        <v>13.7704918032784</v>
      </c>
    </row>
    <row r="29" customFormat="false" ht="15" hidden="false" customHeight="false" outlineLevel="0" collapsed="false">
      <c r="A29" s="21" t="s">
        <v>1114</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customFormat="false" ht="15" hidden="false" customHeight="false" outlineLevel="0" collapsed="false">
      <c r="A30" s="27" t="s">
        <v>1094</v>
      </c>
      <c r="B30" s="63" t="s">
        <v>1115</v>
      </c>
      <c r="C30" s="74" t="n">
        <f aca="false">SUM(E30:P30)</f>
        <v>0.632765666566358</v>
      </c>
      <c r="D30" s="74" t="n">
        <f aca="false">SUM(Q30:AB30)</f>
        <v>2.28102917475653</v>
      </c>
      <c r="E30" s="75" t="n">
        <f aca="false">IF(E$5="A",0,Assumptions!$E$61*Assumptions!$C$79/12*Assumptions!$F$190)</f>
        <v>0</v>
      </c>
      <c r="F30" s="75" t="n">
        <f aca="false">IF(F$5="A",0,E9*Assumptions!$C$79/12*Assumptions!$F$190)</f>
        <v>0</v>
      </c>
      <c r="G30" s="75" t="n">
        <f aca="false">IF(G$5="A",0,F9*Assumptions!$C$79/12*Assumptions!$F$190)</f>
        <v>0</v>
      </c>
      <c r="H30" s="75" t="n">
        <f aca="false">IF(H$5="A",0,G9*Assumptions!$C$79/12*Assumptions!$F$190)</f>
        <v>0</v>
      </c>
      <c r="I30" s="75" t="n">
        <f aca="false">IF(I$5="A",0,H9*Assumptions!$C$79/12*Assumptions!$F$190)</f>
        <v>0</v>
      </c>
      <c r="J30" s="75" t="n">
        <f aca="false">IF(J$5="A",0,I9*Assumptions!$C$79/12*Assumptions!$F$190)</f>
        <v>0</v>
      </c>
      <c r="K30" s="75" t="n">
        <f aca="false">IF(K$5="A",0,J9*Assumptions!$C$79/12*Assumptions!$F$190)</f>
        <v>0</v>
      </c>
      <c r="L30" s="75" t="n">
        <f aca="false">IF(L$5="A",0,K9*Assumptions!$C$79/12*Assumptions!$F$190)</f>
        <v>0</v>
      </c>
      <c r="M30" s="75" t="n">
        <f aca="false">IF(M$5="A",0,L9*Assumptions!$C$79/12*Assumptions!$F$190)</f>
        <v>0.151666666666667</v>
      </c>
      <c r="N30" s="75" t="n">
        <f aca="false">IF(N$5="A",0,M9*Assumptions!$C$79/12*Assumptions!$F$190)</f>
        <v>0.149897222222222</v>
      </c>
      <c r="O30" s="75" t="n">
        <f aca="false">IF(O$5="A",0,N9*Assumptions!$C$79/12*Assumptions!$F$190)</f>
        <v>0.159815087962963</v>
      </c>
      <c r="P30" s="75" t="n">
        <f aca="false">IF(P$5="A",0,O9*Assumptions!$C$79/12*Assumptions!$F$190)</f>
        <v>0.171386689714506</v>
      </c>
      <c r="Q30" s="75" t="n">
        <f aca="false">IF(Q$5="A",0,P9*Assumptions!$C$79/12*Assumptions!$F$190)</f>
        <v>0.17113597926043</v>
      </c>
      <c r="R30" s="75" t="n">
        <f aca="false">IF(R$5="A",0,Q9*Assumptions!$C$79/12*Assumptions!$F$190)</f>
        <v>0.182670568861959</v>
      </c>
      <c r="S30" s="75" t="n">
        <f aca="false">IF(S$5="A",0,R9*Assumptions!$C$79/12*Assumptions!$F$190)</f>
        <v>0.182538923605239</v>
      </c>
      <c r="T30" s="75" t="n">
        <f aca="false">IF(T$5="A",0,S9*Assumptions!$C$79/12*Assumptions!$F$190)</f>
        <v>0.194072555921216</v>
      </c>
      <c r="U30" s="75" t="n">
        <f aca="false">IF(U$5="A",0,T9*Assumptions!$C$79/12*Assumptions!$F$190)</f>
        <v>0.193939532738858</v>
      </c>
      <c r="V30" s="75" t="n">
        <f aca="false">IF(V$5="A",0,U9*Assumptions!$C$79/12*Assumptions!$F$190)</f>
        <v>0.193806525632299</v>
      </c>
      <c r="W30" s="75" t="n">
        <f aca="false">IF(W$5="A",0,V9*Assumptions!$C$79/12*Assumptions!$F$190)</f>
        <v>0.193809629319003</v>
      </c>
      <c r="X30" s="75" t="n">
        <f aca="false">IF(X$5="A",0,W9*Assumptions!$C$79/12*Assumptions!$F$190)</f>
        <v>0.193811144858902</v>
      </c>
      <c r="Y30" s="75" t="n">
        <f aca="false">IF(Y$5="A",0,X9*Assumptions!$C$79/12*Assumptions!$F$190)</f>
        <v>0.193811090967925</v>
      </c>
      <c r="Z30" s="75" t="n">
        <f aca="false">IF(Z$5="A",0,Y9*Assumptions!$C$79/12*Assumptions!$F$190)</f>
        <v>0.193811073915354</v>
      </c>
      <c r="AA30" s="75" t="n">
        <f aca="false">IF(AA$5="A",0,Z9*Assumptions!$C$79/12*Assumptions!$F$190)</f>
        <v>0.193811074743029</v>
      </c>
      <c r="AB30" s="75" t="n">
        <f aca="false">IF(AB$5="A",0,AA9*Assumptions!$C$79/12*Assumptions!$F$190)</f>
        <v>0.193811074932319</v>
      </c>
    </row>
    <row r="31" customFormat="false" ht="15" hidden="false" customHeight="false" outlineLevel="0" collapsed="false">
      <c r="A31" s="27" t="s">
        <v>1096</v>
      </c>
      <c r="B31" s="63" t="s">
        <v>1115</v>
      </c>
      <c r="C31" s="74" t="n">
        <f aca="false">SUM(E31:P31)</f>
        <v>0.506318888811728</v>
      </c>
      <c r="D31" s="74" t="n">
        <f aca="false">SUM(Q31:AB31)</f>
        <v>1.71047651603177</v>
      </c>
      <c r="E31" s="75" t="n">
        <f aca="false">IF(E$5="A",0,Assumptions!$E$62*Assumptions!$C$79/12*Assumptions!$F$190)</f>
        <v>0</v>
      </c>
      <c r="F31" s="75" t="n">
        <f aca="false">IF(F$5="A",0,E10*Assumptions!$C$79/12*Assumptions!$F$190)</f>
        <v>0</v>
      </c>
      <c r="G31" s="75" t="n">
        <f aca="false">IF(G$5="A",0,F10*Assumptions!$C$79/12*Assumptions!$F$190)</f>
        <v>0</v>
      </c>
      <c r="H31" s="75" t="n">
        <f aca="false">IF(H$5="A",0,G10*Assumptions!$C$79/12*Assumptions!$F$190)</f>
        <v>0</v>
      </c>
      <c r="I31" s="75" t="n">
        <f aca="false">IF(I$5="A",0,H10*Assumptions!$C$79/12*Assumptions!$F$190)</f>
        <v>0</v>
      </c>
      <c r="J31" s="75" t="n">
        <f aca="false">IF(J$5="A",0,I10*Assumptions!$C$79/12*Assumptions!$F$190)</f>
        <v>0</v>
      </c>
      <c r="K31" s="75" t="n">
        <f aca="false">IF(K$5="A",0,J10*Assumptions!$C$79/12*Assumptions!$F$190)</f>
        <v>0</v>
      </c>
      <c r="L31" s="75" t="n">
        <f aca="false">IF(L$5="A",0,K10*Assumptions!$C$79/12*Assumptions!$F$190)</f>
        <v>0</v>
      </c>
      <c r="M31" s="75" t="n">
        <f aca="false">IF(M$5="A",0,L10*Assumptions!$C$79/12*Assumptions!$F$190)</f>
        <v>0.116666666666667</v>
      </c>
      <c r="N31" s="75" t="n">
        <f aca="false">IF(N$5="A",0,M10*Assumptions!$C$79/12*Assumptions!$F$190)</f>
        <v>0.115305555555556</v>
      </c>
      <c r="O31" s="75" t="n">
        <f aca="false">IF(O$5="A",0,N10*Assumptions!$C$79/12*Assumptions!$F$190)</f>
        <v>0.137293657407407</v>
      </c>
      <c r="P31" s="75" t="n">
        <f aca="false">IF(P$5="A",0,O10*Assumptions!$C$79/12*Assumptions!$F$190)</f>
        <v>0.137053009182099</v>
      </c>
      <c r="Q31" s="75" t="n">
        <f aca="false">IF(Q$5="A",0,P10*Assumptions!$C$79/12*Assumptions!$F$190)</f>
        <v>0.136799288889789</v>
      </c>
      <c r="R31" s="75" t="n">
        <f aca="false">IF(R$5="A",0,Q10*Assumptions!$C$79/12*Assumptions!$F$190)</f>
        <v>0.136805056522495</v>
      </c>
      <c r="S31" s="75" t="n">
        <f aca="false">IF(S$5="A",0,R10*Assumptions!$C$79/12*Assumptions!$F$190)</f>
        <v>0.136807949303523</v>
      </c>
      <c r="T31" s="75" t="n">
        <f aca="false">IF(T$5="A",0,S10*Assumptions!$C$79/12*Assumptions!$F$190)</f>
        <v>0.136807848265363</v>
      </c>
      <c r="U31" s="75" t="n">
        <f aca="false">IF(U$5="A",0,T10*Assumptions!$C$79/12*Assumptions!$F$190)</f>
        <v>0.13680781569503</v>
      </c>
      <c r="V31" s="75" t="n">
        <f aca="false">IF(V$5="A",0,U10*Assumptions!$C$79/12*Assumptions!$F$190)</f>
        <v>0.136807817253795</v>
      </c>
      <c r="W31" s="75" t="n">
        <f aca="false">IF(W$5="A",0,V10*Assumptions!$C$79/12*Assumptions!$F$190)</f>
        <v>0.148474484282264</v>
      </c>
      <c r="X31" s="75" t="n">
        <f aca="false">IF(X$5="A",0,W10*Assumptions!$C$79/12*Assumptions!$F$190)</f>
        <v>0.148338373148746</v>
      </c>
      <c r="Y31" s="75" t="n">
        <f aca="false">IF(Y$5="A",0,X10*Assumptions!$C$79/12*Assumptions!$F$190)</f>
        <v>0.148203849996638</v>
      </c>
      <c r="Z31" s="75" t="n">
        <f aca="false">IF(Z$5="A",0,Y10*Assumptions!$C$79/12*Assumptions!$F$190)</f>
        <v>0.148207007396637</v>
      </c>
      <c r="AA31" s="75" t="n">
        <f aca="false">IF(AA$5="A",0,Z10*Assumptions!$C$79/12*Assumptions!$F$190)</f>
        <v>0.148208539997078</v>
      </c>
      <c r="AB31" s="75" t="n">
        <f aca="false">IF(AB$5="A",0,AA10*Assumptions!$C$79/12*Assumptions!$F$190)</f>
        <v>0.148208485280407</v>
      </c>
    </row>
    <row r="32" customFormat="false" ht="15" hidden="false" customHeight="false" outlineLevel="0" collapsed="false">
      <c r="A32" s="27" t="s">
        <v>1097</v>
      </c>
      <c r="B32" s="63" t="s">
        <v>1115</v>
      </c>
      <c r="C32" s="74" t="n">
        <f aca="false">SUM(E32:P32)</f>
        <v>0.241628888850309</v>
      </c>
      <c r="D32" s="74" t="n">
        <f aca="false">SUM(Q32:AB32)</f>
        <v>0.820971244838112</v>
      </c>
      <c r="E32" s="75" t="n">
        <f aca="false">IF(E$5="A",0,Assumptions!$E$63*Assumptions!$C$79/12*Assumptions!$F$190)</f>
        <v>0</v>
      </c>
      <c r="F32" s="75" t="n">
        <f aca="false">IF(F$5="A",0,E11*Assumptions!$C$79/12*Assumptions!$F$190)</f>
        <v>0</v>
      </c>
      <c r="G32" s="75" t="n">
        <f aca="false">IF(G$5="A",0,F11*Assumptions!$C$79/12*Assumptions!$F$190)</f>
        <v>0</v>
      </c>
      <c r="H32" s="75" t="n">
        <f aca="false">IF(H$5="A",0,G11*Assumptions!$C$79/12*Assumptions!$F$190)</f>
        <v>0</v>
      </c>
      <c r="I32" s="75" t="n">
        <f aca="false">IF(I$5="A",0,H11*Assumptions!$C$79/12*Assumptions!$F$190)</f>
        <v>0</v>
      </c>
      <c r="J32" s="75" t="n">
        <f aca="false">IF(J$5="A",0,I11*Assumptions!$C$79/12*Assumptions!$F$190)</f>
        <v>0</v>
      </c>
      <c r="K32" s="75" t="n">
        <f aca="false">IF(K$5="A",0,J11*Assumptions!$C$79/12*Assumptions!$F$190)</f>
        <v>0</v>
      </c>
      <c r="L32" s="75" t="n">
        <f aca="false">IF(L$5="A",0,K11*Assumptions!$C$79/12*Assumptions!$F$190)</f>
        <v>0</v>
      </c>
      <c r="M32" s="75" t="n">
        <f aca="false">IF(M$5="A",0,L11*Assumptions!$C$79/12*Assumptions!$F$190)</f>
        <v>0.0583333333333333</v>
      </c>
      <c r="N32" s="75" t="n">
        <f aca="false">IF(N$5="A",0,M11*Assumptions!$C$79/12*Assumptions!$F$190)</f>
        <v>0.0576527777777778</v>
      </c>
      <c r="O32" s="75" t="n">
        <f aca="false">IF(O$5="A",0,N11*Assumptions!$C$79/12*Assumptions!$F$190)</f>
        <v>0.056980162037037</v>
      </c>
      <c r="P32" s="75" t="n">
        <f aca="false">IF(P$5="A",0,O11*Assumptions!$C$79/12*Assumptions!$F$190)</f>
        <v>0.0686626157021605</v>
      </c>
      <c r="Q32" s="75" t="n">
        <f aca="false">IF(Q$5="A",0,P11*Assumptions!$C$79/12*Assumptions!$F$190)</f>
        <v>0.0685341675930427</v>
      </c>
      <c r="R32" s="75" t="n">
        <f aca="false">IF(R$5="A",0,Q11*Assumptions!$C$79/12*Assumptions!$F$190)</f>
        <v>0.068399370861556</v>
      </c>
      <c r="S32" s="75" t="n">
        <f aca="false">IF(S$5="A",0,R11*Assumptions!$C$79/12*Assumptions!$F$190)</f>
        <v>0.068402442051363</v>
      </c>
      <c r="T32" s="75" t="n">
        <f aca="false">IF(T$5="A",0,S11*Assumptions!$C$79/12*Assumptions!$F$190)</f>
        <v>0.0684039788493493</v>
      </c>
      <c r="U32" s="75" t="n">
        <f aca="false">IF(U$5="A",0,T11*Assumptions!$C$79/12*Assumptions!$F$190)</f>
        <v>0.0684039250894917</v>
      </c>
      <c r="V32" s="75" t="n">
        <f aca="false">IF(V$5="A",0,U11*Assumptions!$C$79/12*Assumptions!$F$190)</f>
        <v>0.0684039077873802</v>
      </c>
      <c r="W32" s="75" t="n">
        <f aca="false">IF(W$5="A",0,V11*Assumptions!$C$79/12*Assumptions!$F$190)</f>
        <v>0.0684039086164365</v>
      </c>
      <c r="X32" s="75" t="n">
        <f aca="false">IF(X$5="A",0,W11*Assumptions!$C$79/12*Assumptions!$F$190)</f>
        <v>0.0684039088086221</v>
      </c>
      <c r="Y32" s="75" t="n">
        <f aca="false">IF(Y$5="A",0,X11*Assumptions!$C$79/12*Assumptions!$F$190)</f>
        <v>0.0684039087967077</v>
      </c>
      <c r="Z32" s="75" t="n">
        <f aca="false">IF(Z$5="A",0,Y11*Assumptions!$C$79/12*Assumptions!$F$190)</f>
        <v>0.0684039087946045</v>
      </c>
      <c r="AA32" s="75" t="n">
        <f aca="false">IF(AA$5="A",0,Z11*Assumptions!$C$79/12*Assumptions!$F$190)</f>
        <v>0.068403908794768</v>
      </c>
      <c r="AB32" s="75" t="n">
        <f aca="false">IF(AB$5="A",0,AA11*Assumptions!$C$79/12*Assumptions!$F$190)</f>
        <v>0.0684039087947907</v>
      </c>
    </row>
    <row r="33" customFormat="false" ht="15" hidden="false" customHeight="false" outlineLevel="0" collapsed="false">
      <c r="A33" s="27" t="s">
        <v>1098</v>
      </c>
      <c r="B33" s="63" t="s">
        <v>1115</v>
      </c>
      <c r="C33" s="74" t="n">
        <f aca="false">SUM(E33:P33)</f>
        <v>0.27595466662037</v>
      </c>
      <c r="D33" s="74" t="n">
        <f aca="false">SUM(Q33:AB33)</f>
        <v>0.912442557737724</v>
      </c>
      <c r="E33" s="75" t="n">
        <f aca="false">IF(E$5="A",0,Assumptions!$E$64*Assumptions!$C$79/12*Assumptions!$F$190)</f>
        <v>0</v>
      </c>
      <c r="F33" s="75" t="n">
        <f aca="false">IF(F$5="A",0,E12*Assumptions!$C$79/12*Assumptions!$F$190)</f>
        <v>0</v>
      </c>
      <c r="G33" s="75" t="n">
        <f aca="false">IF(G$5="A",0,F12*Assumptions!$C$79/12*Assumptions!$F$190)</f>
        <v>0</v>
      </c>
      <c r="H33" s="75" t="n">
        <f aca="false">IF(H$5="A",0,G12*Assumptions!$C$79/12*Assumptions!$F$190)</f>
        <v>0</v>
      </c>
      <c r="I33" s="75" t="n">
        <f aca="false">IF(I$5="A",0,H12*Assumptions!$C$79/12*Assumptions!$F$190)</f>
        <v>0</v>
      </c>
      <c r="J33" s="75" t="n">
        <f aca="false">IF(J$5="A",0,I12*Assumptions!$C$79/12*Assumptions!$F$190)</f>
        <v>0</v>
      </c>
      <c r="K33" s="75" t="n">
        <f aca="false">IF(K$5="A",0,J12*Assumptions!$C$79/12*Assumptions!$F$190)</f>
        <v>0</v>
      </c>
      <c r="L33" s="75" t="n">
        <f aca="false">IF(L$5="A",0,K12*Assumptions!$C$79/12*Assumptions!$F$190)</f>
        <v>0</v>
      </c>
      <c r="M33" s="75" t="n">
        <f aca="false">IF(M$5="A",0,L12*Assumptions!$C$79/12*Assumptions!$F$190)</f>
        <v>0.07</v>
      </c>
      <c r="N33" s="75" t="n">
        <f aca="false">IF(N$5="A",0,M12*Assumptions!$C$79/12*Assumptions!$F$190)</f>
        <v>0.0691833333333333</v>
      </c>
      <c r="O33" s="75" t="n">
        <f aca="false">IF(O$5="A",0,N12*Assumptions!$C$79/12*Assumptions!$F$190)</f>
        <v>0.0683761944444444</v>
      </c>
      <c r="P33" s="75" t="n">
        <f aca="false">IF(P$5="A",0,O12*Assumptions!$C$79/12*Assumptions!$F$190)</f>
        <v>0.0683951388425926</v>
      </c>
      <c r="Q33" s="75" t="n">
        <f aca="false">IF(Q$5="A",0,P12*Assumptions!$C$79/12*Assumptions!$F$190)</f>
        <v>0.0684043344449846</v>
      </c>
      <c r="R33" s="75" t="n">
        <f aca="false">IF(R$5="A",0,Q12*Assumptions!$C$79/12*Assumptions!$F$190)</f>
        <v>0.0684040061449783</v>
      </c>
      <c r="S33" s="75" t="n">
        <f aca="false">IF(S$5="A",0,R12*Assumptions!$C$79/12*Assumptions!$F$190)</f>
        <v>0.0684039026931171</v>
      </c>
      <c r="T33" s="75" t="n">
        <f aca="false">IF(T$5="A",0,S12*Assumptions!$C$79/12*Assumptions!$F$190)</f>
        <v>0.0684039077302222</v>
      </c>
      <c r="U33" s="75" t="n">
        <f aca="false">IF(U$5="A",0,T12*Assumptions!$C$79/12*Assumptions!$F$190)</f>
        <v>0.080070575545061</v>
      </c>
      <c r="V33" s="75" t="n">
        <f aca="false">IF(V$5="A",0,U12*Assumptions!$C$79/12*Assumptions!$F$190)</f>
        <v>0.0799344643617884</v>
      </c>
      <c r="W33" s="75" t="n">
        <f aca="false">IF(W$5="A",0,V12*Assumptions!$C$79/12*Assumptions!$F$190)</f>
        <v>0.0797999412010868</v>
      </c>
      <c r="X33" s="75" t="n">
        <f aca="false">IF(X$5="A",0,W12*Assumptions!$C$79/12*Assumptions!$F$190)</f>
        <v>0.0798030986017665</v>
      </c>
      <c r="Y33" s="75" t="n">
        <f aca="false">IF(Y$5="A",0,X12*Assumptions!$C$79/12*Assumptions!$F$190)</f>
        <v>0.0798046312023001</v>
      </c>
      <c r="Z33" s="75" t="n">
        <f aca="false">IF(Z$5="A",0,Y12*Assumptions!$C$79/12*Assumptions!$F$190)</f>
        <v>0.0798045764856192</v>
      </c>
      <c r="AA33" s="75" t="n">
        <f aca="false">IF(AA$5="A",0,Z12*Assumptions!$C$79/12*Assumptions!$F$190)</f>
        <v>0.079804559243641</v>
      </c>
      <c r="AB33" s="75" t="n">
        <f aca="false">IF(AB$5="A",0,AA12*Assumptions!$C$79/12*Assumptions!$F$190)</f>
        <v>0.0798045600831586</v>
      </c>
    </row>
    <row r="34" customFormat="false" ht="15" hidden="false" customHeight="false" outlineLevel="0" collapsed="false">
      <c r="A34" s="27" t="s">
        <v>1099</v>
      </c>
      <c r="B34" s="63" t="s">
        <v>1115</v>
      </c>
      <c r="C34" s="74" t="n">
        <f aca="false">SUM(E34:P34)</f>
        <v>0.137977333310185</v>
      </c>
      <c r="D34" s="74" t="n">
        <f aca="false">SUM(Q34:AB34)</f>
        <v>0.536220801418052</v>
      </c>
      <c r="E34" s="75" t="n">
        <f aca="false">IF(E$5="A",0,Assumptions!$E$65*Assumptions!$C$79/12*Assumptions!$F$190)</f>
        <v>0</v>
      </c>
      <c r="F34" s="75" t="n">
        <f aca="false">IF(F$5="A",0,E13*Assumptions!$C$79/12*Assumptions!$F$190)</f>
        <v>0</v>
      </c>
      <c r="G34" s="75" t="n">
        <f aca="false">IF(G$5="A",0,F13*Assumptions!$C$79/12*Assumptions!$F$190)</f>
        <v>0</v>
      </c>
      <c r="H34" s="75" t="n">
        <f aca="false">IF(H$5="A",0,G13*Assumptions!$C$79/12*Assumptions!$F$190)</f>
        <v>0</v>
      </c>
      <c r="I34" s="75" t="n">
        <f aca="false">IF(I$5="A",0,H13*Assumptions!$C$79/12*Assumptions!$F$190)</f>
        <v>0</v>
      </c>
      <c r="J34" s="75" t="n">
        <f aca="false">IF(J$5="A",0,I13*Assumptions!$C$79/12*Assumptions!$F$190)</f>
        <v>0</v>
      </c>
      <c r="K34" s="75" t="n">
        <f aca="false">IF(K$5="A",0,J13*Assumptions!$C$79/12*Assumptions!$F$190)</f>
        <v>0</v>
      </c>
      <c r="L34" s="75" t="n">
        <f aca="false">IF(L$5="A",0,K13*Assumptions!$C$79/12*Assumptions!$F$190)</f>
        <v>0</v>
      </c>
      <c r="M34" s="75" t="n">
        <f aca="false">IF(M$5="A",0,L13*Assumptions!$C$79/12*Assumptions!$F$190)</f>
        <v>0.035</v>
      </c>
      <c r="N34" s="75" t="n">
        <f aca="false">IF(N$5="A",0,M13*Assumptions!$C$79/12*Assumptions!$F$190)</f>
        <v>0.0345916666666667</v>
      </c>
      <c r="O34" s="75" t="n">
        <f aca="false">IF(O$5="A",0,N13*Assumptions!$C$79/12*Assumptions!$F$190)</f>
        <v>0.0341880972222222</v>
      </c>
      <c r="P34" s="75" t="n">
        <f aca="false">IF(P$5="A",0,O13*Assumptions!$C$79/12*Assumptions!$F$190)</f>
        <v>0.0341975694212963</v>
      </c>
      <c r="Q34" s="75" t="n">
        <f aca="false">IF(Q$5="A",0,P13*Assumptions!$C$79/12*Assumptions!$F$190)</f>
        <v>0.0342021672224923</v>
      </c>
      <c r="R34" s="75" t="n">
        <f aca="false">IF(R$5="A",0,Q13*Assumptions!$C$79/12*Assumptions!$F$190)</f>
        <v>0.0458686697391558</v>
      </c>
      <c r="S34" s="75" t="n">
        <f aca="false">IF(S$5="A",0,R13*Assumptions!$C$79/12*Assumptions!$F$190)</f>
        <v>0.0457325069021141</v>
      </c>
      <c r="T34" s="75" t="n">
        <f aca="false">IF(T$5="A",0,S13*Assumptions!$C$79/12*Assumptions!$F$190)</f>
        <v>0.0455979862725185</v>
      </c>
      <c r="U34" s="75" t="n">
        <f aca="false">IF(U$5="A",0,T13*Assumptions!$C$79/12*Assumptions!$F$190)</f>
        <v>0.045601144246296</v>
      </c>
      <c r="V34" s="75" t="n">
        <f aca="false">IF(V$5="A",0,U13*Assumptions!$C$79/12*Assumptions!$F$190)</f>
        <v>0.0456026768106138</v>
      </c>
      <c r="W34" s="75" t="n">
        <f aca="false">IF(W$5="A",0,V13*Assumptions!$C$79/12*Assumptions!$F$190)</f>
        <v>0.0456026220876694</v>
      </c>
      <c r="X34" s="75" t="n">
        <f aca="false">IF(X$5="A",0,W13*Assumptions!$C$79/12*Assumptions!$F$190)</f>
        <v>0.0456026048461867</v>
      </c>
      <c r="Y34" s="75" t="n">
        <f aca="false">IF(Y$5="A",0,X13*Assumptions!$C$79/12*Assumptions!$F$190)</f>
        <v>0.0456026056857717</v>
      </c>
      <c r="Z34" s="75" t="n">
        <f aca="false">IF(Z$5="A",0,Y13*Assumptions!$C$79/12*Assumptions!$F$190)</f>
        <v>0.0456026058771272</v>
      </c>
      <c r="AA34" s="75" t="n">
        <f aca="false">IF(AA$5="A",0,Z13*Assumptions!$C$79/12*Assumptions!$F$190)</f>
        <v>0.0456026058650995</v>
      </c>
      <c r="AB34" s="75" t="n">
        <f aca="false">IF(AB$5="A",0,AA13*Assumptions!$C$79/12*Assumptions!$F$190)</f>
        <v>0.0456026058630074</v>
      </c>
    </row>
    <row r="35" customFormat="false" ht="15" hidden="false" customHeight="false" outlineLevel="0" collapsed="false">
      <c r="A35" s="27" t="s">
        <v>1100</v>
      </c>
      <c r="B35" s="63" t="s">
        <v>1115</v>
      </c>
      <c r="C35" s="74" t="n">
        <f aca="false">SUM(E35:P35)</f>
        <v>0.0919848888734568</v>
      </c>
      <c r="D35" s="74" t="n">
        <f aca="false">SUM(Q35:AB35)</f>
        <v>0.273615807155148</v>
      </c>
      <c r="E35" s="75" t="n">
        <f aca="false">IF(E$5="A",0,Assumptions!$E$66*Assumptions!$C$79/12*Assumptions!$F$190)</f>
        <v>0</v>
      </c>
      <c r="F35" s="75" t="n">
        <f aca="false">IF(F$5="A",0,E14*Assumptions!$C$79/12*Assumptions!$F$190)</f>
        <v>0</v>
      </c>
      <c r="G35" s="75" t="n">
        <f aca="false">IF(G$5="A",0,F14*Assumptions!$C$79/12*Assumptions!$F$190)</f>
        <v>0</v>
      </c>
      <c r="H35" s="75" t="n">
        <f aca="false">IF(H$5="A",0,G14*Assumptions!$C$79/12*Assumptions!$F$190)</f>
        <v>0</v>
      </c>
      <c r="I35" s="75" t="n">
        <f aca="false">IF(I$5="A",0,H14*Assumptions!$C$79/12*Assumptions!$F$190)</f>
        <v>0</v>
      </c>
      <c r="J35" s="75" t="n">
        <f aca="false">IF(J$5="A",0,I14*Assumptions!$C$79/12*Assumptions!$F$190)</f>
        <v>0</v>
      </c>
      <c r="K35" s="75" t="n">
        <f aca="false">IF(K$5="A",0,J14*Assumptions!$C$79/12*Assumptions!$F$190)</f>
        <v>0</v>
      </c>
      <c r="L35" s="75" t="n">
        <f aca="false">IF(L$5="A",0,K14*Assumptions!$C$79/12*Assumptions!$F$190)</f>
        <v>0</v>
      </c>
      <c r="M35" s="75" t="n">
        <f aca="false">IF(M$5="A",0,L14*Assumptions!$C$79/12*Assumptions!$F$190)</f>
        <v>0.0233333333333333</v>
      </c>
      <c r="N35" s="75" t="n">
        <f aca="false">IF(N$5="A",0,M14*Assumptions!$C$79/12*Assumptions!$F$190)</f>
        <v>0.0230611111111111</v>
      </c>
      <c r="O35" s="75" t="n">
        <f aca="false">IF(O$5="A",0,N14*Assumptions!$C$79/12*Assumptions!$F$190)</f>
        <v>0.0227920648148148</v>
      </c>
      <c r="P35" s="75" t="n">
        <f aca="false">IF(P$5="A",0,O14*Assumptions!$C$79/12*Assumptions!$F$190)</f>
        <v>0.0227983796141975</v>
      </c>
      <c r="Q35" s="75" t="n">
        <f aca="false">IF(Q$5="A",0,P14*Assumptions!$C$79/12*Assumptions!$F$190)</f>
        <v>0.0228014448149949</v>
      </c>
      <c r="R35" s="75" t="n">
        <f aca="false">IF(R$5="A",0,Q14*Assumptions!$C$79/12*Assumptions!$F$190)</f>
        <v>0.0228013353816594</v>
      </c>
      <c r="S35" s="75" t="n">
        <f aca="false">IF(S$5="A",0,R14*Assumptions!$C$79/12*Assumptions!$F$190)</f>
        <v>0.0228013008977057</v>
      </c>
      <c r="T35" s="75" t="n">
        <f aca="false">IF(T$5="A",0,S14*Assumptions!$C$79/12*Assumptions!$F$190)</f>
        <v>0.0228013025767407</v>
      </c>
      <c r="U35" s="75" t="n">
        <f aca="false">IF(U$5="A",0,T14*Assumptions!$C$79/12*Assumptions!$F$190)</f>
        <v>0.0228013029594648</v>
      </c>
      <c r="V35" s="75" t="n">
        <f aca="false">IF(V$5="A",0,U14*Assumptions!$C$79/12*Assumptions!$F$190)</f>
        <v>0.0228013029354109</v>
      </c>
      <c r="W35" s="75" t="n">
        <f aca="false">IF(W$5="A",0,V14*Assumptions!$C$79/12*Assumptions!$F$190)</f>
        <v>0.0228013029312265</v>
      </c>
      <c r="X35" s="75" t="n">
        <f aca="false">IF(X$5="A",0,W14*Assumptions!$C$79/12*Assumptions!$F$190)</f>
        <v>0.0228013029315559</v>
      </c>
      <c r="Y35" s="75" t="n">
        <f aca="false">IF(Y$5="A",0,X14*Assumptions!$C$79/12*Assumptions!$F$190)</f>
        <v>0.0228013029316009</v>
      </c>
      <c r="Z35" s="75" t="n">
        <f aca="false">IF(Z$5="A",0,Y14*Assumptions!$C$79/12*Assumptions!$F$190)</f>
        <v>0.0228013029315965</v>
      </c>
      <c r="AA35" s="75" t="n">
        <f aca="false">IF(AA$5="A",0,Z14*Assumptions!$C$79/12*Assumptions!$F$190)</f>
        <v>0.022801302931596</v>
      </c>
      <c r="AB35" s="75" t="n">
        <f aca="false">IF(AB$5="A",0,AA14*Assumptions!$C$79/12*Assumptions!$F$190)</f>
        <v>0.0228013029315961</v>
      </c>
    </row>
    <row r="36" customFormat="false" ht="15" hidden="false" customHeight="false" outlineLevel="0" collapsed="false">
      <c r="A36" s="27" t="s">
        <v>1101</v>
      </c>
      <c r="B36" s="63" t="s">
        <v>1115</v>
      </c>
      <c r="C36" s="74" t="n">
        <f aca="false">SUM(E36:P36)</f>
        <v>0.362872632137346</v>
      </c>
      <c r="D36" s="74" t="n">
        <f aca="false">SUM(Q36:AB36)</f>
        <v>1.17233295775785</v>
      </c>
      <c r="E36" s="75" t="n">
        <f aca="false">IF(E$5="A",0,Assumptions!$E$67*Assumptions!$C$80/12*Assumptions!$F$190)</f>
        <v>0</v>
      </c>
      <c r="F36" s="75" t="n">
        <f aca="false">IF(F$5="A",0,E15*Assumptions!$C$80/12*Assumptions!$F$190)</f>
        <v>0</v>
      </c>
      <c r="G36" s="75" t="n">
        <f aca="false">IF(G$5="A",0,F15*Assumptions!$C$80/12*Assumptions!$F$190)</f>
        <v>0</v>
      </c>
      <c r="H36" s="75" t="n">
        <f aca="false">IF(H$5="A",0,G15*Assumptions!$C$80/12*Assumptions!$F$190)</f>
        <v>0</v>
      </c>
      <c r="I36" s="75" t="n">
        <f aca="false">IF(I$5="A",0,H15*Assumptions!$C$80/12*Assumptions!$F$190)</f>
        <v>0</v>
      </c>
      <c r="J36" s="75" t="n">
        <f aca="false">IF(J$5="A",0,I15*Assumptions!$C$80/12*Assumptions!$F$190)</f>
        <v>0</v>
      </c>
      <c r="K36" s="75" t="n">
        <f aca="false">IF(K$5="A",0,J15*Assumptions!$C$80/12*Assumptions!$F$190)</f>
        <v>0</v>
      </c>
      <c r="L36" s="75" t="n">
        <f aca="false">IF(L$5="A",0,K15*Assumptions!$C$80/12*Assumptions!$F$190)</f>
        <v>0</v>
      </c>
      <c r="M36" s="75" t="n">
        <f aca="false">IF(M$5="A",0,L15*Assumptions!$C$80/12*Assumptions!$F$190)</f>
        <v>0.0916666666666667</v>
      </c>
      <c r="N36" s="75" t="n">
        <f aca="false">IF(N$5="A",0,M15*Assumptions!$C$80/12*Assumptions!$F$190)</f>
        <v>0.0909027777777778</v>
      </c>
      <c r="O36" s="75" t="n">
        <f aca="false">IF(O$5="A",0,N15*Assumptions!$C$80/12*Assumptions!$F$190)</f>
        <v>0.0901452546296296</v>
      </c>
      <c r="P36" s="75" t="n">
        <f aca="false">IF(P$5="A",0,O15*Assumptions!$C$80/12*Assumptions!$F$190)</f>
        <v>0.0901579330632716</v>
      </c>
      <c r="Q36" s="75" t="n">
        <f aca="false">IF(Q$5="A",0,P15*Assumptions!$C$80/12*Assumptions!$F$190)</f>
        <v>0.0901641401025592</v>
      </c>
      <c r="R36" s="75" t="n">
        <f aca="false">IF(R$5="A",0,Q15*Assumptions!$C$80/12*Assumptions!$F$190)</f>
        <v>0.0984973160569514</v>
      </c>
      <c r="S36" s="75" t="n">
        <f aca="false">IF(S$5="A",0,R15*Assumptions!$C$80/12*Assumptions!$F$190)</f>
        <v>0.0984278211986708</v>
      </c>
      <c r="T36" s="75" t="n">
        <f aca="false">IF(T$5="A",0,S15*Assumptions!$C$80/12*Assumptions!$F$190)</f>
        <v>0.0983589571895365</v>
      </c>
      <c r="U36" s="75" t="n">
        <f aca="false">IF(U$5="A",0,T15*Assumptions!$C$80/12*Assumptions!$F$190)</f>
        <v>0.0983601101800983</v>
      </c>
      <c r="V36" s="75" t="n">
        <f aca="false">IF(V$5="A",0,U15*Assumptions!$C$80/12*Assumptions!$F$190)</f>
        <v>0.0983606744385864</v>
      </c>
      <c r="W36" s="75" t="n">
        <f aca="false">IF(W$5="A",0,V15*Assumptions!$C$80/12*Assumptions!$F$190)</f>
        <v>0.0983606601281776</v>
      </c>
      <c r="X36" s="75" t="n">
        <f aca="false">IF(X$5="A",0,W15*Assumptions!$C$80/12*Assumptions!$F$190)</f>
        <v>0.098360655545277</v>
      </c>
      <c r="Y36" s="75" t="n">
        <f aca="false">IF(Y$5="A",0,X15*Assumptions!$C$80/12*Assumptions!$F$190)</f>
        <v>0.0983606557027212</v>
      </c>
      <c r="Z36" s="75" t="n">
        <f aca="false">IF(Z$5="A",0,Y15*Assumptions!$C$80/12*Assumptions!$F$190)</f>
        <v>0.0983606557396</v>
      </c>
      <c r="AA36" s="75" t="n">
        <f aca="false">IF(AA$5="A",0,Z15*Assumptions!$C$80/12*Assumptions!$F$190)</f>
        <v>0.0983606557379806</v>
      </c>
      <c r="AB36" s="75" t="n">
        <f aca="false">IF(AB$5="A",0,AA15*Assumptions!$C$80/12*Assumptions!$F$190)</f>
        <v>0.0983606557376868</v>
      </c>
    </row>
    <row r="37" customFormat="false" ht="15" hidden="false" customHeight="false" outlineLevel="0" collapsed="false">
      <c r="A37" s="27" t="s">
        <v>1102</v>
      </c>
      <c r="B37" s="63" t="s">
        <v>1115</v>
      </c>
      <c r="C37" s="74" t="n">
        <f aca="false">SUM(E37:P37)</f>
        <v>0.0659768422067901</v>
      </c>
      <c r="D37" s="74" t="n">
        <f aca="false">SUM(Q37:AB37)</f>
        <v>0.196721357201971</v>
      </c>
      <c r="E37" s="75" t="n">
        <f aca="false">IF(E$5="A",0,Assumptions!$E$68*Assumptions!$C$80/12*Assumptions!$F$190)</f>
        <v>0</v>
      </c>
      <c r="F37" s="75" t="n">
        <f aca="false">IF(F$5="A",0,E16*Assumptions!$C$80/12*Assumptions!$F$190)</f>
        <v>0</v>
      </c>
      <c r="G37" s="75" t="n">
        <f aca="false">IF(G$5="A",0,F16*Assumptions!$C$80/12*Assumptions!$F$190)</f>
        <v>0</v>
      </c>
      <c r="H37" s="75" t="n">
        <f aca="false">IF(H$5="A",0,G16*Assumptions!$C$80/12*Assumptions!$F$190)</f>
        <v>0</v>
      </c>
      <c r="I37" s="75" t="n">
        <f aca="false">IF(I$5="A",0,H16*Assumptions!$C$80/12*Assumptions!$F$190)</f>
        <v>0</v>
      </c>
      <c r="J37" s="75" t="n">
        <f aca="false">IF(J$5="A",0,I16*Assumptions!$C$80/12*Assumptions!$F$190)</f>
        <v>0</v>
      </c>
      <c r="K37" s="75" t="n">
        <f aca="false">IF(K$5="A",0,J16*Assumptions!$C$80/12*Assumptions!$F$190)</f>
        <v>0</v>
      </c>
      <c r="L37" s="75" t="n">
        <f aca="false">IF(L$5="A",0,K16*Assumptions!$C$80/12*Assumptions!$F$190)</f>
        <v>0</v>
      </c>
      <c r="M37" s="75" t="n">
        <f aca="false">IF(M$5="A",0,L16*Assumptions!$C$80/12*Assumptions!$F$190)</f>
        <v>0.0166666666666667</v>
      </c>
      <c r="N37" s="75" t="n">
        <f aca="false">IF(N$5="A",0,M16*Assumptions!$C$80/12*Assumptions!$F$190)</f>
        <v>0.0165277777777778</v>
      </c>
      <c r="O37" s="75" t="n">
        <f aca="false">IF(O$5="A",0,N16*Assumptions!$C$80/12*Assumptions!$F$190)</f>
        <v>0.0163900462962963</v>
      </c>
      <c r="P37" s="75" t="n">
        <f aca="false">IF(P$5="A",0,O16*Assumptions!$C$80/12*Assumptions!$F$190)</f>
        <v>0.0163923514660494</v>
      </c>
      <c r="Q37" s="75" t="n">
        <f aca="false">IF(Q$5="A",0,P16*Assumptions!$C$80/12*Assumptions!$F$190)</f>
        <v>0.0163934800186471</v>
      </c>
      <c r="R37" s="75" t="n">
        <f aca="false">IF(R$5="A",0,Q16*Assumptions!$C$80/12*Assumptions!$F$190)</f>
        <v>0.0163934514042942</v>
      </c>
      <c r="S37" s="75" t="n">
        <f aca="false">IF(S$5="A",0,R16*Assumptions!$C$80/12*Assumptions!$F$190)</f>
        <v>0.0163934422381422</v>
      </c>
      <c r="T37" s="75" t="n">
        <f aca="false">IF(T$5="A",0,S16*Assumptions!$C$80/12*Assumptions!$F$190)</f>
        <v>0.0163934425529797</v>
      </c>
      <c r="U37" s="75" t="n">
        <f aca="false">IF(U$5="A",0,T16*Assumptions!$C$80/12*Assumptions!$F$190)</f>
        <v>0.0163934426267407</v>
      </c>
      <c r="V37" s="75" t="n">
        <f aca="false">IF(V$5="A",0,U16*Assumptions!$C$80/12*Assumptions!$F$190)</f>
        <v>0.0163934426235023</v>
      </c>
      <c r="W37" s="75" t="n">
        <f aca="false">IF(W$5="A",0,V16*Assumptions!$C$80/12*Assumptions!$F$190)</f>
        <v>0.0163934426229146</v>
      </c>
      <c r="X37" s="75" t="n">
        <f aca="false">IF(X$5="A",0,W16*Assumptions!$C$80/12*Assumptions!$F$190)</f>
        <v>0.0163934426229465</v>
      </c>
      <c r="Y37" s="75" t="n">
        <f aca="false">IF(Y$5="A",0,X16*Assumptions!$C$80/12*Assumptions!$F$190)</f>
        <v>0.0163934426229512</v>
      </c>
      <c r="Z37" s="75" t="n">
        <f aca="false">IF(Z$5="A",0,Y16*Assumptions!$C$80/12*Assumptions!$F$190)</f>
        <v>0.0163934426229509</v>
      </c>
      <c r="AA37" s="75" t="n">
        <f aca="false">IF(AA$5="A",0,Z16*Assumptions!$C$80/12*Assumptions!$F$190)</f>
        <v>0.0163934426229508</v>
      </c>
      <c r="AB37" s="75" t="n">
        <f aca="false">IF(AB$5="A",0,AA16*Assumptions!$C$80/12*Assumptions!$F$190)</f>
        <v>0.0163934426229508</v>
      </c>
    </row>
    <row r="38" customFormat="false" ht="15" hidden="false" customHeight="false" outlineLevel="0" collapsed="false">
      <c r="A38" s="27" t="s">
        <v>1103</v>
      </c>
      <c r="B38" s="63" t="s">
        <v>1115</v>
      </c>
      <c r="C38" s="74" t="n">
        <f aca="false">SUM(E38:P38)</f>
        <v>0.0492265380859375</v>
      </c>
      <c r="D38" s="74" t="n">
        <f aca="false">SUM(Q38:AB38)</f>
        <v>0.14634157613179</v>
      </c>
      <c r="E38" s="75" t="n">
        <f aca="false">IF(E$5="A",0,Assumptions!$E$69*Assumptions!$C$81/12*Assumptions!$F$190)</f>
        <v>0</v>
      </c>
      <c r="F38" s="75" t="n">
        <f aca="false">IF(F$5="A",0,E17*Assumptions!$C$81/12*Assumptions!$F$190)</f>
        <v>0</v>
      </c>
      <c r="G38" s="75" t="n">
        <f aca="false">IF(G$5="A",0,F17*Assumptions!$C$81/12*Assumptions!$F$190)</f>
        <v>0</v>
      </c>
      <c r="H38" s="75" t="n">
        <f aca="false">IF(H$5="A",0,G17*Assumptions!$C$81/12*Assumptions!$F$190)</f>
        <v>0</v>
      </c>
      <c r="I38" s="75" t="n">
        <f aca="false">IF(I$5="A",0,H17*Assumptions!$C$81/12*Assumptions!$F$190)</f>
        <v>0</v>
      </c>
      <c r="J38" s="75" t="n">
        <f aca="false">IF(J$5="A",0,I17*Assumptions!$C$81/12*Assumptions!$F$190)</f>
        <v>0</v>
      </c>
      <c r="K38" s="75" t="n">
        <f aca="false">IF(K$5="A",0,J17*Assumptions!$C$81/12*Assumptions!$F$190)</f>
        <v>0</v>
      </c>
      <c r="L38" s="75" t="n">
        <f aca="false">IF(L$5="A",0,K17*Assumptions!$C$81/12*Assumptions!$F$190)</f>
        <v>0</v>
      </c>
      <c r="M38" s="75" t="n">
        <f aca="false">IF(M$5="A",0,L17*Assumptions!$C$81/12*Assumptions!$F$190)</f>
        <v>0.0125</v>
      </c>
      <c r="N38" s="75" t="n">
        <f aca="false">IF(N$5="A",0,M17*Assumptions!$C$81/12*Assumptions!$F$190)</f>
        <v>0.01234375</v>
      </c>
      <c r="O38" s="75" t="n">
        <f aca="false">IF(O$5="A",0,N17*Assumptions!$C$81/12*Assumptions!$F$190)</f>
        <v>0.012189453125</v>
      </c>
      <c r="P38" s="75" t="n">
        <f aca="false">IF(P$5="A",0,O17*Assumptions!$C$81/12*Assumptions!$F$190)</f>
        <v>0.0121933349609375</v>
      </c>
      <c r="Q38" s="75" t="n">
        <f aca="false">IF(Q$5="A",0,P17*Assumptions!$C$81/12*Assumptions!$F$190)</f>
        <v>0.0121952151489258</v>
      </c>
      <c r="R38" s="75" t="n">
        <f aca="false">IF(R$5="A",0,Q17*Assumptions!$C$81/12*Assumptions!$F$190)</f>
        <v>0.0121951431236267</v>
      </c>
      <c r="S38" s="75" t="n">
        <f aca="false">IF(S$5="A",0,R17*Assumptions!$C$81/12*Assumptions!$F$190)</f>
        <v>0.0121951205215931</v>
      </c>
      <c r="T38" s="75" t="n">
        <f aca="false">IF(T$5="A",0,S17*Assumptions!$C$81/12*Assumptions!$F$190)</f>
        <v>0.0121951217044348</v>
      </c>
      <c r="U38" s="75" t="n">
        <f aca="false">IF(U$5="A",0,T17*Assumptions!$C$81/12*Assumptions!$F$190)</f>
        <v>0.0121951219721747</v>
      </c>
      <c r="V38" s="75" t="n">
        <f aca="false">IF(V$5="A",0,U17*Assumptions!$C$81/12*Assumptions!$F$190)</f>
        <v>0.0121951219540424</v>
      </c>
      <c r="W38" s="75" t="n">
        <f aca="false">IF(W$5="A",0,V17*Assumptions!$C$81/12*Assumptions!$F$190)</f>
        <v>0.0121951219509223</v>
      </c>
      <c r="X38" s="75" t="n">
        <f aca="false">IF(X$5="A",0,W17*Assumptions!$C$81/12*Assumptions!$F$190)</f>
        <v>0.0121951219511879</v>
      </c>
      <c r="Y38" s="75" t="n">
        <f aca="false">IF(Y$5="A",0,X17*Assumptions!$C$81/12*Assumptions!$F$190)</f>
        <v>0.0121951219512236</v>
      </c>
      <c r="Z38" s="75" t="n">
        <f aca="false">IF(Z$5="A",0,Y17*Assumptions!$C$81/12*Assumptions!$F$190)</f>
        <v>0.0121951219512199</v>
      </c>
      <c r="AA38" s="75" t="n">
        <f aca="false">IF(AA$5="A",0,Z17*Assumptions!$C$81/12*Assumptions!$F$190)</f>
        <v>0.0121951219512195</v>
      </c>
      <c r="AB38" s="75" t="n">
        <f aca="false">IF(AB$5="A",0,AA17*Assumptions!$C$81/12*Assumptions!$F$190)</f>
        <v>0.0121951219512195</v>
      </c>
    </row>
    <row r="39" customFormat="false" ht="15" hidden="false" customHeight="false" outlineLevel="0" collapsed="false">
      <c r="A39" s="27" t="s">
        <v>1104</v>
      </c>
      <c r="B39" s="63" t="s">
        <v>1115</v>
      </c>
      <c r="C39" s="74" t="n">
        <f aca="false">SUM(E39:P39)</f>
        <v>0.19690615234375</v>
      </c>
      <c r="D39" s="74" t="n">
        <f aca="false">SUM(Q39:AB39)</f>
        <v>0.719958808988817</v>
      </c>
      <c r="E39" s="75" t="n">
        <f aca="false">IF(E$5="A",0,Assumptions!$E$70*Assumptions!$C$81/12*Assumptions!$F$190)</f>
        <v>0</v>
      </c>
      <c r="F39" s="75" t="n">
        <f aca="false">IF(F$5="A",0,E18*Assumptions!$C$81/12*Assumptions!$F$190)</f>
        <v>0</v>
      </c>
      <c r="G39" s="75" t="n">
        <f aca="false">IF(G$5="A",0,F18*Assumptions!$C$81/12*Assumptions!$F$190)</f>
        <v>0</v>
      </c>
      <c r="H39" s="75" t="n">
        <f aca="false">IF(H$5="A",0,G18*Assumptions!$C$81/12*Assumptions!$F$190)</f>
        <v>0</v>
      </c>
      <c r="I39" s="75" t="n">
        <f aca="false">IF(I$5="A",0,H18*Assumptions!$C$81/12*Assumptions!$F$190)</f>
        <v>0</v>
      </c>
      <c r="J39" s="75" t="n">
        <f aca="false">IF(J$5="A",0,I18*Assumptions!$C$81/12*Assumptions!$F$190)</f>
        <v>0</v>
      </c>
      <c r="K39" s="75" t="n">
        <f aca="false">IF(K$5="A",0,J18*Assumptions!$C$81/12*Assumptions!$F$190)</f>
        <v>0</v>
      </c>
      <c r="L39" s="75" t="n">
        <f aca="false">IF(L$5="A",0,K18*Assumptions!$C$81/12*Assumptions!$F$190)</f>
        <v>0</v>
      </c>
      <c r="M39" s="75" t="n">
        <f aca="false">IF(M$5="A",0,L18*Assumptions!$C$81/12*Assumptions!$F$190)</f>
        <v>0.05</v>
      </c>
      <c r="N39" s="75" t="n">
        <f aca="false">IF(N$5="A",0,M18*Assumptions!$C$81/12*Assumptions!$F$190)</f>
        <v>0.049375</v>
      </c>
      <c r="O39" s="75" t="n">
        <f aca="false">IF(O$5="A",0,N18*Assumptions!$C$81/12*Assumptions!$F$190)</f>
        <v>0.0487578125</v>
      </c>
      <c r="P39" s="75" t="n">
        <f aca="false">IF(P$5="A",0,O18*Assumptions!$C$81/12*Assumptions!$F$190)</f>
        <v>0.04877333984375</v>
      </c>
      <c r="Q39" s="75" t="n">
        <f aca="false">IF(Q$5="A",0,P18*Assumptions!$C$81/12*Assumptions!$F$190)</f>
        <v>0.0487808605957031</v>
      </c>
      <c r="R39" s="75" t="n">
        <f aca="false">IF(R$5="A",0,Q18*Assumptions!$C$81/12*Assumptions!$F$190)</f>
        <v>0.0612805724945068</v>
      </c>
      <c r="S39" s="75" t="n">
        <f aca="false">IF(S$5="A",0,R18*Assumptions!$C$81/12*Assumptions!$F$190)</f>
        <v>0.0611242320863724</v>
      </c>
      <c r="T39" s="75" t="n">
        <f aca="false">IF(T$5="A",0,S18*Assumptions!$C$81/12*Assumptions!$F$190)</f>
        <v>0.060969939942739</v>
      </c>
      <c r="U39" s="75" t="n">
        <f aca="false">IF(U$5="A",0,T18*Assumptions!$C$81/12*Assumptions!$F$190)</f>
        <v>0.0609738228496361</v>
      </c>
      <c r="V39" s="75" t="n">
        <f aca="false">IF(V$5="A",0,U18*Assumptions!$C$81/12*Assumptions!$F$190)</f>
        <v>0.0609757029650953</v>
      </c>
      <c r="W39" s="75" t="n">
        <f aca="false">IF(W$5="A",0,V18*Assumptions!$C$81/12*Assumptions!$F$190)</f>
        <v>0.0609756309273159</v>
      </c>
      <c r="X39" s="75" t="n">
        <f aca="false">IF(X$5="A",0,W18*Assumptions!$C$81/12*Assumptions!$F$190)</f>
        <v>0.0609756083263449</v>
      </c>
      <c r="Y39" s="75" t="n">
        <f aca="false">IF(Y$5="A",0,X18*Assumptions!$C$81/12*Assumptions!$F$190)</f>
        <v>0.0609756095093292</v>
      </c>
      <c r="Z39" s="75" t="n">
        <f aca="false">IF(Z$5="A",0,Y18*Assumptions!$C$81/12*Assumptions!$F$190)</f>
        <v>0.0609756097770541</v>
      </c>
      <c r="AA39" s="75" t="n">
        <f aca="false">IF(AA$5="A",0,Z18*Assumptions!$C$81/12*Assumptions!$F$190)</f>
        <v>0.0609756097589202</v>
      </c>
      <c r="AB39" s="75" t="n">
        <f aca="false">IF(AB$5="A",0,AA18*Assumptions!$C$81/12*Assumptions!$F$190)</f>
        <v>0.0609756097558003</v>
      </c>
    </row>
    <row r="40" customFormat="false" ht="15" hidden="false" customHeight="false" outlineLevel="0" collapsed="false">
      <c r="A40" s="27" t="s">
        <v>1105</v>
      </c>
      <c r="B40" s="63" t="s">
        <v>1115</v>
      </c>
      <c r="C40" s="74" t="n">
        <f aca="false">SUM(E40:P40)</f>
        <v>0.0492265380859375</v>
      </c>
      <c r="D40" s="74" t="n">
        <f aca="false">SUM(Q40:AB40)</f>
        <v>0.14634157613179</v>
      </c>
      <c r="E40" s="75" t="n">
        <f aca="false">IF(E$5="A",0,Assumptions!$E$71*Assumptions!$C$81/12*Assumptions!$F$190)</f>
        <v>0</v>
      </c>
      <c r="F40" s="75" t="n">
        <f aca="false">IF(F$5="A",0,E19*Assumptions!$C$81/12*Assumptions!$F$190)</f>
        <v>0</v>
      </c>
      <c r="G40" s="75" t="n">
        <f aca="false">IF(G$5="A",0,F19*Assumptions!$C$81/12*Assumptions!$F$190)</f>
        <v>0</v>
      </c>
      <c r="H40" s="75" t="n">
        <f aca="false">IF(H$5="A",0,G19*Assumptions!$C$81/12*Assumptions!$F$190)</f>
        <v>0</v>
      </c>
      <c r="I40" s="75" t="n">
        <f aca="false">IF(I$5="A",0,H19*Assumptions!$C$81/12*Assumptions!$F$190)</f>
        <v>0</v>
      </c>
      <c r="J40" s="75" t="n">
        <f aca="false">IF(J$5="A",0,I19*Assumptions!$C$81/12*Assumptions!$F$190)</f>
        <v>0</v>
      </c>
      <c r="K40" s="75" t="n">
        <f aca="false">IF(K$5="A",0,J19*Assumptions!$C$81/12*Assumptions!$F$190)</f>
        <v>0</v>
      </c>
      <c r="L40" s="75" t="n">
        <f aca="false">IF(L$5="A",0,K19*Assumptions!$C$81/12*Assumptions!$F$190)</f>
        <v>0</v>
      </c>
      <c r="M40" s="75" t="n">
        <f aca="false">IF(M$5="A",0,L19*Assumptions!$C$81/12*Assumptions!$F$190)</f>
        <v>0.0125</v>
      </c>
      <c r="N40" s="75" t="n">
        <f aca="false">IF(N$5="A",0,M19*Assumptions!$C$81/12*Assumptions!$F$190)</f>
        <v>0.01234375</v>
      </c>
      <c r="O40" s="75" t="n">
        <f aca="false">IF(O$5="A",0,N19*Assumptions!$C$81/12*Assumptions!$F$190)</f>
        <v>0.012189453125</v>
      </c>
      <c r="P40" s="75" t="n">
        <f aca="false">IF(P$5="A",0,O19*Assumptions!$C$81/12*Assumptions!$F$190)</f>
        <v>0.0121933349609375</v>
      </c>
      <c r="Q40" s="75" t="n">
        <f aca="false">IF(Q$5="A",0,P19*Assumptions!$C$81/12*Assumptions!$F$190)</f>
        <v>0.0121952151489258</v>
      </c>
      <c r="R40" s="75" t="n">
        <f aca="false">IF(R$5="A",0,Q19*Assumptions!$C$81/12*Assumptions!$F$190)</f>
        <v>0.0121951431236267</v>
      </c>
      <c r="S40" s="75" t="n">
        <f aca="false">IF(S$5="A",0,R19*Assumptions!$C$81/12*Assumptions!$F$190)</f>
        <v>0.0121951205215931</v>
      </c>
      <c r="T40" s="75" t="n">
        <f aca="false">IF(T$5="A",0,S19*Assumptions!$C$81/12*Assumptions!$F$190)</f>
        <v>0.0121951217044348</v>
      </c>
      <c r="U40" s="75" t="n">
        <f aca="false">IF(U$5="A",0,T19*Assumptions!$C$81/12*Assumptions!$F$190)</f>
        <v>0.0121951219721747</v>
      </c>
      <c r="V40" s="75" t="n">
        <f aca="false">IF(V$5="A",0,U19*Assumptions!$C$81/12*Assumptions!$F$190)</f>
        <v>0.0121951219540424</v>
      </c>
      <c r="W40" s="75" t="n">
        <f aca="false">IF(W$5="A",0,V19*Assumptions!$C$81/12*Assumptions!$F$190)</f>
        <v>0.0121951219509223</v>
      </c>
      <c r="X40" s="75" t="n">
        <f aca="false">IF(X$5="A",0,W19*Assumptions!$C$81/12*Assumptions!$F$190)</f>
        <v>0.0121951219511879</v>
      </c>
      <c r="Y40" s="75" t="n">
        <f aca="false">IF(Y$5="A",0,X19*Assumptions!$C$81/12*Assumptions!$F$190)</f>
        <v>0.0121951219512236</v>
      </c>
      <c r="Z40" s="75" t="n">
        <f aca="false">IF(Z$5="A",0,Y19*Assumptions!$C$81/12*Assumptions!$F$190)</f>
        <v>0.0121951219512199</v>
      </c>
      <c r="AA40" s="75" t="n">
        <f aca="false">IF(AA$5="A",0,Z19*Assumptions!$C$81/12*Assumptions!$F$190)</f>
        <v>0.0121951219512195</v>
      </c>
      <c r="AB40" s="75" t="n">
        <f aca="false">IF(AB$5="A",0,AA19*Assumptions!$C$81/12*Assumptions!$F$190)</f>
        <v>0.0121951219512195</v>
      </c>
    </row>
    <row r="41" customFormat="false" ht="15" hidden="false" customHeight="false" outlineLevel="0" collapsed="false">
      <c r="A41" s="27" t="s">
        <v>1106</v>
      </c>
      <c r="B41" s="63" t="s">
        <v>1115</v>
      </c>
      <c r="C41" s="74" t="n">
        <f aca="false">SUM(E41:P41)</f>
        <v>0.0492265380859375</v>
      </c>
      <c r="D41" s="74" t="n">
        <f aca="false">SUM(Q41:AB41)</f>
        <v>0.14634157613179</v>
      </c>
      <c r="E41" s="75" t="n">
        <f aca="false">IF(E$5="A",0,Assumptions!$E$72*Assumptions!$C$81/12*Assumptions!$F$190)</f>
        <v>0</v>
      </c>
      <c r="F41" s="75" t="n">
        <f aca="false">IF(F$5="A",0,E20*Assumptions!$C$81/12*Assumptions!$F$190)</f>
        <v>0</v>
      </c>
      <c r="G41" s="75" t="n">
        <f aca="false">IF(G$5="A",0,F20*Assumptions!$C$81/12*Assumptions!$F$190)</f>
        <v>0</v>
      </c>
      <c r="H41" s="75" t="n">
        <f aca="false">IF(H$5="A",0,G20*Assumptions!$C$81/12*Assumptions!$F$190)</f>
        <v>0</v>
      </c>
      <c r="I41" s="75" t="n">
        <f aca="false">IF(I$5="A",0,H20*Assumptions!$C$81/12*Assumptions!$F$190)</f>
        <v>0</v>
      </c>
      <c r="J41" s="75" t="n">
        <f aca="false">IF(J$5="A",0,I20*Assumptions!$C$81/12*Assumptions!$F$190)</f>
        <v>0</v>
      </c>
      <c r="K41" s="75" t="n">
        <f aca="false">IF(K$5="A",0,J20*Assumptions!$C$81/12*Assumptions!$F$190)</f>
        <v>0</v>
      </c>
      <c r="L41" s="75" t="n">
        <f aca="false">IF(L$5="A",0,K20*Assumptions!$C$81/12*Assumptions!$F$190)</f>
        <v>0</v>
      </c>
      <c r="M41" s="75" t="n">
        <f aca="false">IF(M$5="A",0,L20*Assumptions!$C$81/12*Assumptions!$F$190)</f>
        <v>0.0125</v>
      </c>
      <c r="N41" s="75" t="n">
        <f aca="false">IF(N$5="A",0,M20*Assumptions!$C$81/12*Assumptions!$F$190)</f>
        <v>0.01234375</v>
      </c>
      <c r="O41" s="75" t="n">
        <f aca="false">IF(O$5="A",0,N20*Assumptions!$C$81/12*Assumptions!$F$190)</f>
        <v>0.012189453125</v>
      </c>
      <c r="P41" s="75" t="n">
        <f aca="false">IF(P$5="A",0,O20*Assumptions!$C$81/12*Assumptions!$F$190)</f>
        <v>0.0121933349609375</v>
      </c>
      <c r="Q41" s="75" t="n">
        <f aca="false">IF(Q$5="A",0,P20*Assumptions!$C$81/12*Assumptions!$F$190)</f>
        <v>0.0121952151489258</v>
      </c>
      <c r="R41" s="75" t="n">
        <f aca="false">IF(R$5="A",0,Q20*Assumptions!$C$81/12*Assumptions!$F$190)</f>
        <v>0.0121951431236267</v>
      </c>
      <c r="S41" s="75" t="n">
        <f aca="false">IF(S$5="A",0,R20*Assumptions!$C$81/12*Assumptions!$F$190)</f>
        <v>0.0121951205215931</v>
      </c>
      <c r="T41" s="75" t="n">
        <f aca="false">IF(T$5="A",0,S20*Assumptions!$C$81/12*Assumptions!$F$190)</f>
        <v>0.0121951217044348</v>
      </c>
      <c r="U41" s="75" t="n">
        <f aca="false">IF(U$5="A",0,T20*Assumptions!$C$81/12*Assumptions!$F$190)</f>
        <v>0.0121951219721747</v>
      </c>
      <c r="V41" s="75" t="n">
        <f aca="false">IF(V$5="A",0,U20*Assumptions!$C$81/12*Assumptions!$F$190)</f>
        <v>0.0121951219540424</v>
      </c>
      <c r="W41" s="75" t="n">
        <f aca="false">IF(W$5="A",0,V20*Assumptions!$C$81/12*Assumptions!$F$190)</f>
        <v>0.0121951219509223</v>
      </c>
      <c r="X41" s="75" t="n">
        <f aca="false">IF(X$5="A",0,W20*Assumptions!$C$81/12*Assumptions!$F$190)</f>
        <v>0.0121951219511879</v>
      </c>
      <c r="Y41" s="75" t="n">
        <f aca="false">IF(Y$5="A",0,X20*Assumptions!$C$81/12*Assumptions!$F$190)</f>
        <v>0.0121951219512236</v>
      </c>
      <c r="Z41" s="75" t="n">
        <f aca="false">IF(Z$5="A",0,Y20*Assumptions!$C$81/12*Assumptions!$F$190)</f>
        <v>0.0121951219512199</v>
      </c>
      <c r="AA41" s="75" t="n">
        <f aca="false">IF(AA$5="A",0,Z20*Assumptions!$C$81/12*Assumptions!$F$190)</f>
        <v>0.0121951219512195</v>
      </c>
      <c r="AB41" s="75" t="n">
        <f aca="false">IF(AB$5="A",0,AA20*Assumptions!$C$81/12*Assumptions!$F$190)</f>
        <v>0.0121951219512195</v>
      </c>
    </row>
    <row r="42" customFormat="false" ht="15" hidden="false" customHeight="false" outlineLevel="0" collapsed="false">
      <c r="A42" s="27" t="s">
        <v>1107</v>
      </c>
      <c r="B42" s="63" t="s">
        <v>1115</v>
      </c>
      <c r="C42" s="74" t="n">
        <f aca="false">SUM(E42:P42)</f>
        <v>0.03975099875</v>
      </c>
      <c r="D42" s="74" t="n">
        <f aca="false">SUM(Q42:AB42)</f>
        <v>0.118811887241569</v>
      </c>
      <c r="E42" s="75" t="n">
        <f aca="false">IF(E$5="A",0,Assumptions!$E$73*Assumptions!$C$82/12*Assumptions!$F$190)</f>
        <v>0</v>
      </c>
      <c r="F42" s="75" t="n">
        <f aca="false">IF(F$5="A",0,E21*Assumptions!$C$82/12*Assumptions!$F$190)</f>
        <v>0</v>
      </c>
      <c r="G42" s="75" t="n">
        <f aca="false">IF(G$5="A",0,F21*Assumptions!$C$82/12*Assumptions!$F$190)</f>
        <v>0</v>
      </c>
      <c r="H42" s="75" t="n">
        <f aca="false">IF(H$5="A",0,G21*Assumptions!$C$82/12*Assumptions!$F$190)</f>
        <v>0</v>
      </c>
      <c r="I42" s="75" t="n">
        <f aca="false">IF(I$5="A",0,H21*Assumptions!$C$82/12*Assumptions!$F$190)</f>
        <v>0</v>
      </c>
      <c r="J42" s="75" t="n">
        <f aca="false">IF(J$5="A",0,I21*Assumptions!$C$82/12*Assumptions!$F$190)</f>
        <v>0</v>
      </c>
      <c r="K42" s="75" t="n">
        <f aca="false">IF(K$5="A",0,J21*Assumptions!$C$82/12*Assumptions!$F$190)</f>
        <v>0</v>
      </c>
      <c r="L42" s="75" t="n">
        <f aca="false">IF(L$5="A",0,K21*Assumptions!$C$82/12*Assumptions!$F$190)</f>
        <v>0</v>
      </c>
      <c r="M42" s="75" t="n">
        <f aca="false">IF(M$5="A",0,L21*Assumptions!$C$82/12*Assumptions!$F$190)</f>
        <v>0.01</v>
      </c>
      <c r="N42" s="75" t="n">
        <f aca="false">IF(N$5="A",0,M21*Assumptions!$C$82/12*Assumptions!$F$190)</f>
        <v>0.00995</v>
      </c>
      <c r="O42" s="75" t="n">
        <f aca="false">IF(O$5="A",0,N21*Assumptions!$C$82/12*Assumptions!$F$190)</f>
        <v>0.00990025</v>
      </c>
      <c r="P42" s="75" t="n">
        <f aca="false">IF(P$5="A",0,O21*Assumptions!$C$82/12*Assumptions!$F$190)</f>
        <v>0.00990074875</v>
      </c>
      <c r="Q42" s="75" t="n">
        <f aca="false">IF(Q$5="A",0,P21*Assumptions!$C$82/12*Assumptions!$F$190)</f>
        <v>0.00990099500625</v>
      </c>
      <c r="R42" s="75" t="n">
        <f aca="false">IF(R$5="A",0,Q21*Assumptions!$C$82/12*Assumptions!$F$190)</f>
        <v>0.00990099128121875</v>
      </c>
      <c r="S42" s="75" t="n">
        <f aca="false">IF(S$5="A",0,R21*Assumptions!$C$82/12*Assumptions!$F$190)</f>
        <v>0.00990099006856266</v>
      </c>
      <c r="T42" s="75" t="n">
        <f aca="false">IF(T$5="A",0,S21*Assumptions!$C$82/12*Assumptions!$F$190)</f>
        <v>0.00990099009325109</v>
      </c>
      <c r="U42" s="75" t="n">
        <f aca="false">IF(U$5="A",0,T21*Assumptions!$C$82/12*Assumptions!$F$190)</f>
        <v>0.00990099009919093</v>
      </c>
      <c r="V42" s="75" t="n">
        <f aca="false">IF(V$5="A",0,U21*Assumptions!$C$82/12*Assumptions!$F$190)</f>
        <v>0.00990099009903779</v>
      </c>
      <c r="W42" s="75" t="n">
        <f aca="false">IF(W$5="A",0,V21*Assumptions!$C$82/12*Assumptions!$F$190)</f>
        <v>0.00990099009900886</v>
      </c>
      <c r="X42" s="75" t="n">
        <f aca="false">IF(X$5="A",0,W21*Assumptions!$C$82/12*Assumptions!$F$190)</f>
        <v>0.00990099009900977</v>
      </c>
      <c r="Y42" s="75" t="n">
        <f aca="false">IF(Y$5="A",0,X21*Assumptions!$C$82/12*Assumptions!$F$190)</f>
        <v>0.00990099009900991</v>
      </c>
      <c r="Z42" s="75" t="n">
        <f aca="false">IF(Z$5="A",0,Y21*Assumptions!$C$82/12*Assumptions!$F$190)</f>
        <v>0.0099009900990099</v>
      </c>
      <c r="AA42" s="75" t="n">
        <f aca="false">IF(AA$5="A",0,Z21*Assumptions!$C$82/12*Assumptions!$F$190)</f>
        <v>0.0099009900990099</v>
      </c>
      <c r="AB42" s="75" t="n">
        <f aca="false">IF(AB$5="A",0,AA21*Assumptions!$C$82/12*Assumptions!$F$190)</f>
        <v>0.0099009900990099</v>
      </c>
    </row>
    <row r="43" customFormat="false" ht="15" hidden="false" customHeight="false" outlineLevel="0" collapsed="false">
      <c r="A43" s="27" t="s">
        <v>1108</v>
      </c>
      <c r="B43" s="63" t="s">
        <v>1115</v>
      </c>
      <c r="C43" s="74" t="n">
        <f aca="false">SUM(E43:P43)</f>
        <v>0.059626498125</v>
      </c>
      <c r="D43" s="74" t="n">
        <f aca="false">SUM(Q43:AB43)</f>
        <v>0.178217830862354</v>
      </c>
      <c r="E43" s="75" t="n">
        <f aca="false">IF(E$5="A",0,Assumptions!$E$74*Assumptions!$C$82/12*Assumptions!$F$190)</f>
        <v>0</v>
      </c>
      <c r="F43" s="75" t="n">
        <f aca="false">IF(F$5="A",0,E22*Assumptions!$C$82/12*Assumptions!$F$190)</f>
        <v>0</v>
      </c>
      <c r="G43" s="75" t="n">
        <f aca="false">IF(G$5="A",0,F22*Assumptions!$C$82/12*Assumptions!$F$190)</f>
        <v>0</v>
      </c>
      <c r="H43" s="75" t="n">
        <f aca="false">IF(H$5="A",0,G22*Assumptions!$C$82/12*Assumptions!$F$190)</f>
        <v>0</v>
      </c>
      <c r="I43" s="75" t="n">
        <f aca="false">IF(I$5="A",0,H22*Assumptions!$C$82/12*Assumptions!$F$190)</f>
        <v>0</v>
      </c>
      <c r="J43" s="75" t="n">
        <f aca="false">IF(J$5="A",0,I22*Assumptions!$C$82/12*Assumptions!$F$190)</f>
        <v>0</v>
      </c>
      <c r="K43" s="75" t="n">
        <f aca="false">IF(K$5="A",0,J22*Assumptions!$C$82/12*Assumptions!$F$190)</f>
        <v>0</v>
      </c>
      <c r="L43" s="75" t="n">
        <f aca="false">IF(L$5="A",0,K22*Assumptions!$C$82/12*Assumptions!$F$190)</f>
        <v>0</v>
      </c>
      <c r="M43" s="75" t="n">
        <f aca="false">IF(M$5="A",0,L22*Assumptions!$C$82/12*Assumptions!$F$190)</f>
        <v>0.015</v>
      </c>
      <c r="N43" s="75" t="n">
        <f aca="false">IF(N$5="A",0,M22*Assumptions!$C$82/12*Assumptions!$F$190)</f>
        <v>0.014925</v>
      </c>
      <c r="O43" s="75" t="n">
        <f aca="false">IF(O$5="A",0,N22*Assumptions!$C$82/12*Assumptions!$F$190)</f>
        <v>0.014850375</v>
      </c>
      <c r="P43" s="75" t="n">
        <f aca="false">IF(P$5="A",0,O22*Assumptions!$C$82/12*Assumptions!$F$190)</f>
        <v>0.014851123125</v>
      </c>
      <c r="Q43" s="75" t="n">
        <f aca="false">IF(Q$5="A",0,P22*Assumptions!$C$82/12*Assumptions!$F$190)</f>
        <v>0.014851492509375</v>
      </c>
      <c r="R43" s="75" t="n">
        <f aca="false">IF(R$5="A",0,Q22*Assumptions!$C$82/12*Assumptions!$F$190)</f>
        <v>0.0148514869218281</v>
      </c>
      <c r="S43" s="75" t="n">
        <f aca="false">IF(S$5="A",0,R22*Assumptions!$C$82/12*Assumptions!$F$190)</f>
        <v>0.014851485102844</v>
      </c>
      <c r="T43" s="75" t="n">
        <f aca="false">IF(T$5="A",0,S22*Assumptions!$C$82/12*Assumptions!$F$190)</f>
        <v>0.0148514851398766</v>
      </c>
      <c r="U43" s="75" t="n">
        <f aca="false">IF(U$5="A",0,T22*Assumptions!$C$82/12*Assumptions!$F$190)</f>
        <v>0.0148514851487864</v>
      </c>
      <c r="V43" s="75" t="n">
        <f aca="false">IF(V$5="A",0,U22*Assumptions!$C$82/12*Assumptions!$F$190)</f>
        <v>0.0148514851485567</v>
      </c>
      <c r="W43" s="75" t="n">
        <f aca="false">IF(W$5="A",0,V22*Assumptions!$C$82/12*Assumptions!$F$190)</f>
        <v>0.0148514851485133</v>
      </c>
      <c r="X43" s="75" t="n">
        <f aca="false">IF(X$5="A",0,W22*Assumptions!$C$82/12*Assumptions!$F$190)</f>
        <v>0.0148514851485147</v>
      </c>
      <c r="Y43" s="75" t="n">
        <f aca="false">IF(Y$5="A",0,X22*Assumptions!$C$82/12*Assumptions!$F$190)</f>
        <v>0.0148514851485149</v>
      </c>
      <c r="Z43" s="75" t="n">
        <f aca="false">IF(Z$5="A",0,Y22*Assumptions!$C$82/12*Assumptions!$F$190)</f>
        <v>0.0148514851485149</v>
      </c>
      <c r="AA43" s="75" t="n">
        <f aca="false">IF(AA$5="A",0,Z22*Assumptions!$C$82/12*Assumptions!$F$190)</f>
        <v>0.0148514851485149</v>
      </c>
      <c r="AB43" s="75" t="n">
        <f aca="false">IF(AB$5="A",0,AA22*Assumptions!$C$82/12*Assumptions!$F$190)</f>
        <v>0.0148514851485149</v>
      </c>
    </row>
    <row r="44" customFormat="false" ht="15" hidden="false" customHeight="false" outlineLevel="0" collapsed="false">
      <c r="A44" s="27" t="s">
        <v>1109</v>
      </c>
      <c r="B44" s="63" t="s">
        <v>1115</v>
      </c>
      <c r="C44" s="74" t="n">
        <f aca="false">SUM(E44:P44)</f>
        <v>0.019875499375</v>
      </c>
      <c r="D44" s="74" t="n">
        <f aca="false">SUM(Q44:AB44)</f>
        <v>0.0594059436207847</v>
      </c>
      <c r="E44" s="75" t="n">
        <f aca="false">IF(E$5="A",0,Assumptions!$E$75*Assumptions!$C$82/12*Assumptions!$F$190)</f>
        <v>0</v>
      </c>
      <c r="F44" s="75" t="n">
        <f aca="false">IF(F$5="A",0,E23*Assumptions!$C$82/12*Assumptions!$F$190)</f>
        <v>0</v>
      </c>
      <c r="G44" s="75" t="n">
        <f aca="false">IF(G$5="A",0,F23*Assumptions!$C$82/12*Assumptions!$F$190)</f>
        <v>0</v>
      </c>
      <c r="H44" s="75" t="n">
        <f aca="false">IF(H$5="A",0,G23*Assumptions!$C$82/12*Assumptions!$F$190)</f>
        <v>0</v>
      </c>
      <c r="I44" s="75" t="n">
        <f aca="false">IF(I$5="A",0,H23*Assumptions!$C$82/12*Assumptions!$F$190)</f>
        <v>0</v>
      </c>
      <c r="J44" s="75" t="n">
        <f aca="false">IF(J$5="A",0,I23*Assumptions!$C$82/12*Assumptions!$F$190)</f>
        <v>0</v>
      </c>
      <c r="K44" s="75" t="n">
        <f aca="false">IF(K$5="A",0,J23*Assumptions!$C$82/12*Assumptions!$F$190)</f>
        <v>0</v>
      </c>
      <c r="L44" s="75" t="n">
        <f aca="false">IF(L$5="A",0,K23*Assumptions!$C$82/12*Assumptions!$F$190)</f>
        <v>0</v>
      </c>
      <c r="M44" s="75" t="n">
        <f aca="false">IF(M$5="A",0,L23*Assumptions!$C$82/12*Assumptions!$F$190)</f>
        <v>0.005</v>
      </c>
      <c r="N44" s="75" t="n">
        <f aca="false">IF(N$5="A",0,M23*Assumptions!$C$82/12*Assumptions!$F$190)</f>
        <v>0.004975</v>
      </c>
      <c r="O44" s="75" t="n">
        <f aca="false">IF(O$5="A",0,N23*Assumptions!$C$82/12*Assumptions!$F$190)</f>
        <v>0.004950125</v>
      </c>
      <c r="P44" s="75" t="n">
        <f aca="false">IF(P$5="A",0,O23*Assumptions!$C$82/12*Assumptions!$F$190)</f>
        <v>0.004950374375</v>
      </c>
      <c r="Q44" s="75" t="n">
        <f aca="false">IF(Q$5="A",0,P23*Assumptions!$C$82/12*Assumptions!$F$190)</f>
        <v>0.004950497503125</v>
      </c>
      <c r="R44" s="75" t="n">
        <f aca="false">IF(R$5="A",0,Q23*Assumptions!$C$82/12*Assumptions!$F$190)</f>
        <v>0.00495049564060938</v>
      </c>
      <c r="S44" s="75" t="n">
        <f aca="false">IF(S$5="A",0,R23*Assumptions!$C$82/12*Assumptions!$F$190)</f>
        <v>0.00495049503428133</v>
      </c>
      <c r="T44" s="75" t="n">
        <f aca="false">IF(T$5="A",0,S23*Assumptions!$C$82/12*Assumptions!$F$190)</f>
        <v>0.00495049504662555</v>
      </c>
      <c r="U44" s="75" t="n">
        <f aca="false">IF(U$5="A",0,T23*Assumptions!$C$82/12*Assumptions!$F$190)</f>
        <v>0.00495049504959547</v>
      </c>
      <c r="V44" s="75" t="n">
        <f aca="false">IF(V$5="A",0,U23*Assumptions!$C$82/12*Assumptions!$F$190)</f>
        <v>0.00495049504951889</v>
      </c>
      <c r="W44" s="75" t="n">
        <f aca="false">IF(W$5="A",0,V23*Assumptions!$C$82/12*Assumptions!$F$190)</f>
        <v>0.00495049504950443</v>
      </c>
      <c r="X44" s="75" t="n">
        <f aca="false">IF(X$5="A",0,W23*Assumptions!$C$82/12*Assumptions!$F$190)</f>
        <v>0.00495049504950488</v>
      </c>
      <c r="Y44" s="75" t="n">
        <f aca="false">IF(Y$5="A",0,X23*Assumptions!$C$82/12*Assumptions!$F$190)</f>
        <v>0.00495049504950495</v>
      </c>
      <c r="Z44" s="75" t="n">
        <f aca="false">IF(Z$5="A",0,Y23*Assumptions!$C$82/12*Assumptions!$F$190)</f>
        <v>0.00495049504950495</v>
      </c>
      <c r="AA44" s="75" t="n">
        <f aca="false">IF(AA$5="A",0,Z23*Assumptions!$C$82/12*Assumptions!$F$190)</f>
        <v>0.00495049504950495</v>
      </c>
      <c r="AB44" s="75" t="n">
        <f aca="false">IF(AB$5="A",0,AA23*Assumptions!$C$82/12*Assumptions!$F$190)</f>
        <v>0.00495049504950495</v>
      </c>
    </row>
    <row r="45" customFormat="false" ht="15" hidden="false" customHeight="false" outlineLevel="0" collapsed="false">
      <c r="A45" s="27" t="s">
        <v>1110</v>
      </c>
      <c r="B45" s="63" t="s">
        <v>1115</v>
      </c>
      <c r="C45" s="74" t="n">
        <f aca="false">SUM(E45:P45)</f>
        <v>0.03975099875</v>
      </c>
      <c r="D45" s="74" t="n">
        <f aca="false">SUM(Q45:AB45)</f>
        <v>0.118811887241569</v>
      </c>
      <c r="E45" s="75" t="n">
        <f aca="false">IF(E$5="A",0,Assumptions!$E$76*Assumptions!$C$82/12*Assumptions!$F$190)</f>
        <v>0</v>
      </c>
      <c r="F45" s="75" t="n">
        <f aca="false">IF(F$5="A",0,E24*Assumptions!$C$82/12*Assumptions!$F$190)</f>
        <v>0</v>
      </c>
      <c r="G45" s="75" t="n">
        <f aca="false">IF(G$5="A",0,F24*Assumptions!$C$82/12*Assumptions!$F$190)</f>
        <v>0</v>
      </c>
      <c r="H45" s="75" t="n">
        <f aca="false">IF(H$5="A",0,G24*Assumptions!$C$82/12*Assumptions!$F$190)</f>
        <v>0</v>
      </c>
      <c r="I45" s="75" t="n">
        <f aca="false">IF(I$5="A",0,H24*Assumptions!$C$82/12*Assumptions!$F$190)</f>
        <v>0</v>
      </c>
      <c r="J45" s="75" t="n">
        <f aca="false">IF(J$5="A",0,I24*Assumptions!$C$82/12*Assumptions!$F$190)</f>
        <v>0</v>
      </c>
      <c r="K45" s="75" t="n">
        <f aca="false">IF(K$5="A",0,J24*Assumptions!$C$82/12*Assumptions!$F$190)</f>
        <v>0</v>
      </c>
      <c r="L45" s="75" t="n">
        <f aca="false">IF(L$5="A",0,K24*Assumptions!$C$82/12*Assumptions!$F$190)</f>
        <v>0</v>
      </c>
      <c r="M45" s="75" t="n">
        <f aca="false">IF(M$5="A",0,L24*Assumptions!$C$82/12*Assumptions!$F$190)</f>
        <v>0.01</v>
      </c>
      <c r="N45" s="75" t="n">
        <f aca="false">IF(N$5="A",0,M24*Assumptions!$C$82/12*Assumptions!$F$190)</f>
        <v>0.00995</v>
      </c>
      <c r="O45" s="75" t="n">
        <f aca="false">IF(O$5="A",0,N24*Assumptions!$C$82/12*Assumptions!$F$190)</f>
        <v>0.00990025</v>
      </c>
      <c r="P45" s="75" t="n">
        <f aca="false">IF(P$5="A",0,O24*Assumptions!$C$82/12*Assumptions!$F$190)</f>
        <v>0.00990074875</v>
      </c>
      <c r="Q45" s="75" t="n">
        <f aca="false">IF(Q$5="A",0,P24*Assumptions!$C$82/12*Assumptions!$F$190)</f>
        <v>0.00990099500625</v>
      </c>
      <c r="R45" s="75" t="n">
        <f aca="false">IF(R$5="A",0,Q24*Assumptions!$C$82/12*Assumptions!$F$190)</f>
        <v>0.00990099128121875</v>
      </c>
      <c r="S45" s="75" t="n">
        <f aca="false">IF(S$5="A",0,R24*Assumptions!$C$82/12*Assumptions!$F$190)</f>
        <v>0.00990099006856266</v>
      </c>
      <c r="T45" s="75" t="n">
        <f aca="false">IF(T$5="A",0,S24*Assumptions!$C$82/12*Assumptions!$F$190)</f>
        <v>0.00990099009325109</v>
      </c>
      <c r="U45" s="75" t="n">
        <f aca="false">IF(U$5="A",0,T24*Assumptions!$C$82/12*Assumptions!$F$190)</f>
        <v>0.00990099009919093</v>
      </c>
      <c r="V45" s="75" t="n">
        <f aca="false">IF(V$5="A",0,U24*Assumptions!$C$82/12*Assumptions!$F$190)</f>
        <v>0.00990099009903779</v>
      </c>
      <c r="W45" s="75" t="n">
        <f aca="false">IF(W$5="A",0,V24*Assumptions!$C$82/12*Assumptions!$F$190)</f>
        <v>0.00990099009900886</v>
      </c>
      <c r="X45" s="75" t="n">
        <f aca="false">IF(X$5="A",0,W24*Assumptions!$C$82/12*Assumptions!$F$190)</f>
        <v>0.00990099009900977</v>
      </c>
      <c r="Y45" s="75" t="n">
        <f aca="false">IF(Y$5="A",0,X24*Assumptions!$C$82/12*Assumptions!$F$190)</f>
        <v>0.00990099009900991</v>
      </c>
      <c r="Z45" s="75" t="n">
        <f aca="false">IF(Z$5="A",0,Y24*Assumptions!$C$82/12*Assumptions!$F$190)</f>
        <v>0.0099009900990099</v>
      </c>
      <c r="AA45" s="75" t="n">
        <f aca="false">IF(AA$5="A",0,Z24*Assumptions!$C$82/12*Assumptions!$F$190)</f>
        <v>0.0099009900990099</v>
      </c>
      <c r="AB45" s="75" t="n">
        <f aca="false">IF(AB$5="A",0,AA24*Assumptions!$C$82/12*Assumptions!$F$190)</f>
        <v>0.0099009900990099</v>
      </c>
    </row>
    <row r="46" customFormat="false" ht="15" hidden="false" customHeight="false" outlineLevel="0" collapsed="false">
      <c r="A46" s="27" t="s">
        <v>1111</v>
      </c>
      <c r="B46" s="63" t="s">
        <v>1115</v>
      </c>
      <c r="C46" s="74" t="n">
        <f aca="false">SUM(E46:P46)</f>
        <v>0.019875499375</v>
      </c>
      <c r="D46" s="74" t="n">
        <f aca="false">SUM(Q46:AB46)</f>
        <v>0.0594059436207847</v>
      </c>
      <c r="E46" s="75" t="n">
        <f aca="false">IF(E$5="A",0,Assumptions!$E$77*Assumptions!$C$82/12*Assumptions!$F$190)</f>
        <v>0</v>
      </c>
      <c r="F46" s="75" t="n">
        <f aca="false">IF(F$5="A",0,E25*Assumptions!$C$82/12*Assumptions!$F$190)</f>
        <v>0</v>
      </c>
      <c r="G46" s="75" t="n">
        <f aca="false">IF(G$5="A",0,F25*Assumptions!$C$82/12*Assumptions!$F$190)</f>
        <v>0</v>
      </c>
      <c r="H46" s="75" t="n">
        <f aca="false">IF(H$5="A",0,G25*Assumptions!$C$82/12*Assumptions!$F$190)</f>
        <v>0</v>
      </c>
      <c r="I46" s="75" t="n">
        <f aca="false">IF(I$5="A",0,H25*Assumptions!$C$82/12*Assumptions!$F$190)</f>
        <v>0</v>
      </c>
      <c r="J46" s="75" t="n">
        <f aca="false">IF(J$5="A",0,I25*Assumptions!$C$82/12*Assumptions!$F$190)</f>
        <v>0</v>
      </c>
      <c r="K46" s="75" t="n">
        <f aca="false">IF(K$5="A",0,J25*Assumptions!$C$82/12*Assumptions!$F$190)</f>
        <v>0</v>
      </c>
      <c r="L46" s="75" t="n">
        <f aca="false">IF(L$5="A",0,K25*Assumptions!$C$82/12*Assumptions!$F$190)</f>
        <v>0</v>
      </c>
      <c r="M46" s="75" t="n">
        <f aca="false">IF(M$5="A",0,L25*Assumptions!$C$82/12*Assumptions!$F$190)</f>
        <v>0.005</v>
      </c>
      <c r="N46" s="75" t="n">
        <f aca="false">IF(N$5="A",0,M25*Assumptions!$C$82/12*Assumptions!$F$190)</f>
        <v>0.004975</v>
      </c>
      <c r="O46" s="75" t="n">
        <f aca="false">IF(O$5="A",0,N25*Assumptions!$C$82/12*Assumptions!$F$190)</f>
        <v>0.004950125</v>
      </c>
      <c r="P46" s="75" t="n">
        <f aca="false">IF(P$5="A",0,O25*Assumptions!$C$82/12*Assumptions!$F$190)</f>
        <v>0.004950374375</v>
      </c>
      <c r="Q46" s="75" t="n">
        <f aca="false">IF(Q$5="A",0,P25*Assumptions!$C$82/12*Assumptions!$F$190)</f>
        <v>0.004950497503125</v>
      </c>
      <c r="R46" s="75" t="n">
        <f aca="false">IF(R$5="A",0,Q25*Assumptions!$C$82/12*Assumptions!$F$190)</f>
        <v>0.00495049564060938</v>
      </c>
      <c r="S46" s="75" t="n">
        <f aca="false">IF(S$5="A",0,R25*Assumptions!$C$82/12*Assumptions!$F$190)</f>
        <v>0.00495049503428133</v>
      </c>
      <c r="T46" s="75" t="n">
        <f aca="false">IF(T$5="A",0,S25*Assumptions!$C$82/12*Assumptions!$F$190)</f>
        <v>0.00495049504662555</v>
      </c>
      <c r="U46" s="75" t="n">
        <f aca="false">IF(U$5="A",0,T25*Assumptions!$C$82/12*Assumptions!$F$190)</f>
        <v>0.00495049504959547</v>
      </c>
      <c r="V46" s="75" t="n">
        <f aca="false">IF(V$5="A",0,U25*Assumptions!$C$82/12*Assumptions!$F$190)</f>
        <v>0.00495049504951889</v>
      </c>
      <c r="W46" s="75" t="n">
        <f aca="false">IF(W$5="A",0,V25*Assumptions!$C$82/12*Assumptions!$F$190)</f>
        <v>0.00495049504950443</v>
      </c>
      <c r="X46" s="75" t="n">
        <f aca="false">IF(X$5="A",0,W25*Assumptions!$C$82/12*Assumptions!$F$190)</f>
        <v>0.00495049504950488</v>
      </c>
      <c r="Y46" s="75" t="n">
        <f aca="false">IF(Y$5="A",0,X25*Assumptions!$C$82/12*Assumptions!$F$190)</f>
        <v>0.00495049504950495</v>
      </c>
      <c r="Z46" s="75" t="n">
        <f aca="false">IF(Z$5="A",0,Y25*Assumptions!$C$82/12*Assumptions!$F$190)</f>
        <v>0.00495049504950495</v>
      </c>
      <c r="AA46" s="75" t="n">
        <f aca="false">IF(AA$5="A",0,Z25*Assumptions!$C$82/12*Assumptions!$F$190)</f>
        <v>0.00495049504950495</v>
      </c>
      <c r="AB46" s="75" t="n">
        <f aca="false">IF(AB$5="A",0,AA25*Assumptions!$C$82/12*Assumptions!$F$190)</f>
        <v>0.00495049504950495</v>
      </c>
    </row>
    <row r="47" customFormat="false" ht="15" hidden="false" customHeight="false" outlineLevel="0" collapsed="false">
      <c r="A47" s="27" t="s">
        <v>1116</v>
      </c>
      <c r="B47" s="63"/>
      <c r="C47" s="74" t="n">
        <f aca="false">SUM(E47:P47)</f>
        <v>10.3841368055556</v>
      </c>
      <c r="D47" s="74" t="n">
        <f aca="false">SUM(Q47:AB47)</f>
        <v>16.4212527213708</v>
      </c>
      <c r="E47" s="75" t="n">
        <f aca="false">IF(E$5="A",MAX(0,Inputs_Actuals!E222-Assumptions!$E$61)+MAX(0,Inputs_Actuals!E223-Assumptions!$E$62)+MAX(0,Inputs_Actuals!E224-Assumptions!$E$63)+MAX(0,Inputs_Actuals!E225-Assumptions!$E$64)+MAX(0,Inputs_Actuals!E226-Assumptions!$E$65)+MAX(0,Inputs_Actuals!E227-Assumptions!$E$66)+MAX(0,Inputs_Actuals!E228-Assumptions!$E$67)+MAX(0,Inputs_Actuals!E229-Assumptions!$E$68)+MAX(0,Inputs_Actuals!E230-Assumptions!$E$69)+MAX(0,Inputs_Actuals!E231-Assumptions!$E$70)+MAX(0,Inputs_Actuals!E232-Assumptions!$E$71)+MAX(0,Inputs_Actuals!E233-Assumptions!$E$72)+MAX(0,Inputs_Actuals!E234-Assumptions!$E$73)+MAX(0,Inputs_Actuals!E235-Assumptions!$E$74)+MAX(0,Inputs_Actuals!E236-Assumptions!$E$75)+MAX(0,Inputs_Actuals!E237-Assumptions!$E$76)+MAX(0,Inputs_Actuals!E238-Assumptions!$E$77),0)</f>
        <v>0</v>
      </c>
      <c r="F47" s="75" t="n">
        <f aca="false">IF(F$5="A",MAX(0,Inputs_Actuals!F222-E9)+MAX(0,Inputs_Actuals!F223-E10)+MAX(0,Inputs_Actuals!F224-E11)+MAX(0,Inputs_Actuals!F225-E12)+MAX(0,Inputs_Actuals!F226-E13)+MAX(0,Inputs_Actuals!F227-E14)+MAX(0,Inputs_Actuals!F228-E15)+MAX(0,Inputs_Actuals!F229-E16)+MAX(0,Inputs_Actuals!F230-E17)+MAX(0,Inputs_Actuals!F231-E18)+MAX(0,Inputs_Actuals!F232-E19)+MAX(0,Inputs_Actuals!F233-E20)+MAX(0,Inputs_Actuals!F234-E21)+MAX(0,Inputs_Actuals!F235-E22)+MAX(0,Inputs_Actuals!F236-E23)+MAX(0,Inputs_Actuals!F237-E24)+MAX(0,Inputs_Actuals!F238-E25),0)</f>
        <v>1</v>
      </c>
      <c r="G47" s="75" t="n">
        <f aca="false">IF(G$5="A",MAX(0,Inputs_Actuals!G222-F9)+MAX(0,Inputs_Actuals!G223-F10)+MAX(0,Inputs_Actuals!G224-F11)+MAX(0,Inputs_Actuals!G225-F12)+MAX(0,Inputs_Actuals!G226-F13)+MAX(0,Inputs_Actuals!G227-F14)+MAX(0,Inputs_Actuals!G228-F15)+MAX(0,Inputs_Actuals!G229-F16)+MAX(0,Inputs_Actuals!G230-F17)+MAX(0,Inputs_Actuals!G231-F18)+MAX(0,Inputs_Actuals!G232-F19)+MAX(0,Inputs_Actuals!G233-F20)+MAX(0,Inputs_Actuals!G234-F21)+MAX(0,Inputs_Actuals!G235-F22)+MAX(0,Inputs_Actuals!G236-F23)+MAX(0,Inputs_Actuals!G237-F24)+MAX(0,Inputs_Actuals!G238-F25),0+IF(E$5="F",E30,0)*Assumptions!$F$189+IF(E$5="F",E31,0)*Assumptions!$F$189+IF(E$5="F",E32,0)*Assumptions!$F$189+IF(E$5="F",E33,0)*Assumptions!$F$189+IF(E$5="F",E34,0)*Assumptions!$F$189+IF(E$5="F",E35,0)*Assumptions!$F$189+IF(E$5="F",E36,0)*Assumptions!$F$189+IF(E$5="F",E37,0)*Assumptions!$F$189+IF(E$5="F",E38,0)*Assumptions!$F$189+IF(E$5="F",E39,0)*Assumptions!$F$189+IF(E$5="F",E40,0)*Assumptions!$F$189+IF(E$5="F",E41,0)*Assumptions!$F$189+IF(E$5="F",E42,0)*Assumptions!$F$189+IF(E$5="F",E43,0)*Assumptions!$F$189+IF(E$5="F",E44,0)*Assumptions!$F$189+IF(E$5="F",E45,0)*Assumptions!$F$189+IF(E$5="F",E46,0)*Assumptions!$F$189)</f>
        <v>1</v>
      </c>
      <c r="H47" s="75" t="n">
        <f aca="false">IF(H$5="A",MAX(0,Inputs_Actuals!H222-G9)+MAX(0,Inputs_Actuals!H223-G10)+MAX(0,Inputs_Actuals!H224-G11)+MAX(0,Inputs_Actuals!H225-G12)+MAX(0,Inputs_Actuals!H226-G13)+MAX(0,Inputs_Actuals!H227-G14)+MAX(0,Inputs_Actuals!H228-G15)+MAX(0,Inputs_Actuals!H229-G16)+MAX(0,Inputs_Actuals!H230-G17)+MAX(0,Inputs_Actuals!H231-G18)+MAX(0,Inputs_Actuals!H232-G19)+MAX(0,Inputs_Actuals!H233-G20)+MAX(0,Inputs_Actuals!H234-G21)+MAX(0,Inputs_Actuals!H235-G22)+MAX(0,Inputs_Actuals!H236-G23)+MAX(0,Inputs_Actuals!H237-G24)+MAX(0,Inputs_Actuals!H238-G25),0+IF(F$5="F",F30,0)*Assumptions!$F$189+IF(F$5="F",F31,0)*Assumptions!$F$189+IF(F$5="F",F32,0)*Assumptions!$F$189+IF(F$5="F",F33,0)*Assumptions!$F$189+IF(F$5="F",F34,0)*Assumptions!$F$189+IF(F$5="F",F35,0)*Assumptions!$F$189+IF(F$5="F",F36,0)*Assumptions!$F$189+IF(F$5="F",F37,0)*Assumptions!$F$189+IF(F$5="F",F38,0)*Assumptions!$F$189+IF(F$5="F",F39,0)*Assumptions!$F$189+IF(F$5="F",F40,0)*Assumptions!$F$189+IF(F$5="F",F41,0)*Assumptions!$F$189+IF(F$5="F",F42,0)*Assumptions!$F$189+IF(F$5="F",F43,0)*Assumptions!$F$189+IF(F$5="F",F44,0)*Assumptions!$F$189+IF(F$5="F",F45,0)*Assumptions!$F$189+IF(F$5="F",F46,0)*Assumptions!$F$189)</f>
        <v>0</v>
      </c>
      <c r="I47" s="75" t="n">
        <f aca="false">IF(I$5="A",MAX(0,Inputs_Actuals!I222-H9)+MAX(0,Inputs_Actuals!I223-H10)+MAX(0,Inputs_Actuals!I224-H11)+MAX(0,Inputs_Actuals!I225-H12)+MAX(0,Inputs_Actuals!I226-H13)+MAX(0,Inputs_Actuals!I227-H14)+MAX(0,Inputs_Actuals!I228-H15)+MAX(0,Inputs_Actuals!I229-H16)+MAX(0,Inputs_Actuals!I230-H17)+MAX(0,Inputs_Actuals!I231-H18)+MAX(0,Inputs_Actuals!I232-H19)+MAX(0,Inputs_Actuals!I233-H20)+MAX(0,Inputs_Actuals!I234-H21)+MAX(0,Inputs_Actuals!I235-H22)+MAX(0,Inputs_Actuals!I236-H23)+MAX(0,Inputs_Actuals!I237-H24)+MAX(0,Inputs_Actuals!I238-H25),0+IF(G$5="F",G30,0)*Assumptions!$F$189+IF(G$5="F",G31,0)*Assumptions!$F$189+IF(G$5="F",G32,0)*Assumptions!$F$189+IF(G$5="F",G33,0)*Assumptions!$F$189+IF(G$5="F",G34,0)*Assumptions!$F$189+IF(G$5="F",G35,0)*Assumptions!$F$189+IF(G$5="F",G36,0)*Assumptions!$F$189+IF(G$5="F",G37,0)*Assumptions!$F$189+IF(G$5="F",G38,0)*Assumptions!$F$189+IF(G$5="F",G39,0)*Assumptions!$F$189+IF(G$5="F",G40,0)*Assumptions!$F$189+IF(G$5="F",G41,0)*Assumptions!$F$189+IF(G$5="F",G42,0)*Assumptions!$F$189+IF(G$5="F",G43,0)*Assumptions!$F$189+IF(G$5="F",G44,0)*Assumptions!$F$189+IF(G$5="F",G45,0)*Assumptions!$F$189+IF(G$5="F",G46,0)*Assumptions!$F$189)</f>
        <v>0</v>
      </c>
      <c r="J47" s="75" t="n">
        <f aca="false">IF(J$5="A",MAX(0,Inputs_Actuals!J222-I9)+MAX(0,Inputs_Actuals!J223-I10)+MAX(0,Inputs_Actuals!J224-I11)+MAX(0,Inputs_Actuals!J225-I12)+MAX(0,Inputs_Actuals!J226-I13)+MAX(0,Inputs_Actuals!J227-I14)+MAX(0,Inputs_Actuals!J228-I15)+MAX(0,Inputs_Actuals!J229-I16)+MAX(0,Inputs_Actuals!J230-I17)+MAX(0,Inputs_Actuals!J231-I18)+MAX(0,Inputs_Actuals!J232-I19)+MAX(0,Inputs_Actuals!J233-I20)+MAX(0,Inputs_Actuals!J234-I21)+MAX(0,Inputs_Actuals!J235-I22)+MAX(0,Inputs_Actuals!J236-I23)+MAX(0,Inputs_Actuals!J237-I24)+MAX(0,Inputs_Actuals!J238-I25),0+IF(H$5="F",H30,0)*Assumptions!$F$189+IF(H$5="F",H31,0)*Assumptions!$F$189+IF(H$5="F",H32,0)*Assumptions!$F$189+IF(H$5="F",H33,0)*Assumptions!$F$189+IF(H$5="F",H34,0)*Assumptions!$F$189+IF(H$5="F",H35,0)*Assumptions!$F$189+IF(H$5="F",H36,0)*Assumptions!$F$189+IF(H$5="F",H37,0)*Assumptions!$F$189+IF(H$5="F",H38,0)*Assumptions!$F$189+IF(H$5="F",H39,0)*Assumptions!$F$189+IF(H$5="F",H40,0)*Assumptions!$F$189+IF(H$5="F",H41,0)*Assumptions!$F$189+IF(H$5="F",H42,0)*Assumptions!$F$189+IF(H$5="F",H43,0)*Assumptions!$F$189+IF(H$5="F",H44,0)*Assumptions!$F$189+IF(H$5="F",H45,0)*Assumptions!$F$189+IF(H$5="F",H46,0)*Assumptions!$F$189)</f>
        <v>1</v>
      </c>
      <c r="K47" s="75" t="n">
        <f aca="false">IF(K$5="A",MAX(0,Inputs_Actuals!K222-J9)+MAX(0,Inputs_Actuals!K223-J10)+MAX(0,Inputs_Actuals!K224-J11)+MAX(0,Inputs_Actuals!K225-J12)+MAX(0,Inputs_Actuals!K226-J13)+MAX(0,Inputs_Actuals!K227-J14)+MAX(0,Inputs_Actuals!K228-J15)+MAX(0,Inputs_Actuals!K229-J16)+MAX(0,Inputs_Actuals!K230-J17)+MAX(0,Inputs_Actuals!K231-J18)+MAX(0,Inputs_Actuals!K232-J19)+MAX(0,Inputs_Actuals!K233-J20)+MAX(0,Inputs_Actuals!K234-J21)+MAX(0,Inputs_Actuals!K235-J22)+MAX(0,Inputs_Actuals!K236-J23)+MAX(0,Inputs_Actuals!K237-J24)+MAX(0,Inputs_Actuals!K238-J25),0+IF(I$5="F",I30,0)*Assumptions!$F$189+IF(I$5="F",I31,0)*Assumptions!$F$189+IF(I$5="F",I32,0)*Assumptions!$F$189+IF(I$5="F",I33,0)*Assumptions!$F$189+IF(I$5="F",I34,0)*Assumptions!$F$189+IF(I$5="F",I35,0)*Assumptions!$F$189+IF(I$5="F",I36,0)*Assumptions!$F$189+IF(I$5="F",I37,0)*Assumptions!$F$189+IF(I$5="F",I38,0)*Assumptions!$F$189+IF(I$5="F",I39,0)*Assumptions!$F$189+IF(I$5="F",I40,0)*Assumptions!$F$189+IF(I$5="F",I41,0)*Assumptions!$F$189+IF(I$5="F",I42,0)*Assumptions!$F$189+IF(I$5="F",I43,0)*Assumptions!$F$189+IF(I$5="F",I44,0)*Assumptions!$F$189+IF(I$5="F",I45,0)*Assumptions!$F$189+IF(I$5="F",I46,0)*Assumptions!$F$189)</f>
        <v>1</v>
      </c>
      <c r="L47" s="75" t="n">
        <f aca="false">IF(L$5="A",MAX(0,Inputs_Actuals!L222-K9)+MAX(0,Inputs_Actuals!L223-K10)+MAX(0,Inputs_Actuals!L224-K11)+MAX(0,Inputs_Actuals!L225-K12)+MAX(0,Inputs_Actuals!L226-K13)+MAX(0,Inputs_Actuals!L227-K14)+MAX(0,Inputs_Actuals!L228-K15)+MAX(0,Inputs_Actuals!L229-K16)+MAX(0,Inputs_Actuals!L230-K17)+MAX(0,Inputs_Actuals!L231-K18)+MAX(0,Inputs_Actuals!L232-K19)+MAX(0,Inputs_Actuals!L233-K20)+MAX(0,Inputs_Actuals!L234-K21)+MAX(0,Inputs_Actuals!L235-K22)+MAX(0,Inputs_Actuals!L236-K23)+MAX(0,Inputs_Actuals!L237-K24)+MAX(0,Inputs_Actuals!L238-K25),0+IF(J$5="F",J30,0)*Assumptions!$F$189+IF(J$5="F",J31,0)*Assumptions!$F$189+IF(J$5="F",J32,0)*Assumptions!$F$189+IF(J$5="F",J33,0)*Assumptions!$F$189+IF(J$5="F",J34,0)*Assumptions!$F$189+IF(J$5="F",J35,0)*Assumptions!$F$189+IF(J$5="F",J36,0)*Assumptions!$F$189+IF(J$5="F",J37,0)*Assumptions!$F$189+IF(J$5="F",J38,0)*Assumptions!$F$189+IF(J$5="F",J39,0)*Assumptions!$F$189+IF(J$5="F",J40,0)*Assumptions!$F$189+IF(J$5="F",J41,0)*Assumptions!$F$189+IF(J$5="F",J42,0)*Assumptions!$F$189+IF(J$5="F",J43,0)*Assumptions!$F$189+IF(J$5="F",J44,0)*Assumptions!$F$189+IF(J$5="F",J45,0)*Assumptions!$F$189+IF(J$5="F",J46,0)*Assumptions!$F$189)</f>
        <v>0</v>
      </c>
      <c r="M47" s="75" t="n">
        <f aca="false">IF(M$5="A",MAX(0,Inputs_Actuals!M222-L9)+MAX(0,Inputs_Actuals!M223-L10)+MAX(0,Inputs_Actuals!M224-L11)+MAX(0,Inputs_Actuals!M225-L12)+MAX(0,Inputs_Actuals!M226-L13)+MAX(0,Inputs_Actuals!M227-L14)+MAX(0,Inputs_Actuals!M228-L15)+MAX(0,Inputs_Actuals!M229-L16)+MAX(0,Inputs_Actuals!M230-L17)+MAX(0,Inputs_Actuals!M231-L18)+MAX(0,Inputs_Actuals!M232-L19)+MAX(0,Inputs_Actuals!M233-L20)+MAX(0,Inputs_Actuals!M234-L21)+MAX(0,Inputs_Actuals!M235-L22)+MAX(0,Inputs_Actuals!M236-L23)+MAX(0,Inputs_Actuals!M237-L24)+MAX(0,Inputs_Actuals!M238-L25),0+IF(K$5="F",K30,0)*Assumptions!$F$189+IF(K$5="F",K31,0)*Assumptions!$F$189+IF(K$5="F",K32,0)*Assumptions!$F$189+IF(K$5="F",K33,0)*Assumptions!$F$189+IF(K$5="F",K34,0)*Assumptions!$F$189+IF(K$5="F",K35,0)*Assumptions!$F$189+IF(K$5="F",K36,0)*Assumptions!$F$189+IF(K$5="F",K37,0)*Assumptions!$F$189+IF(K$5="F",K38,0)*Assumptions!$F$189+IF(K$5="F",K39,0)*Assumptions!$F$189+IF(K$5="F",K40,0)*Assumptions!$F$189+IF(K$5="F",K41,0)*Assumptions!$F$189+IF(K$5="F",K42,0)*Assumptions!$F$189+IF(K$5="F",K43,0)*Assumptions!$F$189+IF(K$5="F",K44,0)*Assumptions!$F$189+IF(K$5="F",K45,0)*Assumptions!$F$189+IF(K$5="F",K46,0)*Assumptions!$F$189)</f>
        <v>0</v>
      </c>
      <c r="N47" s="75" t="n">
        <f aca="false">IF(N$5="A",MAX(0,Inputs_Actuals!N222-M9)+MAX(0,Inputs_Actuals!N223-M10)+MAX(0,Inputs_Actuals!N224-M11)+MAX(0,Inputs_Actuals!N225-M12)+MAX(0,Inputs_Actuals!N226-M13)+MAX(0,Inputs_Actuals!N227-M14)+MAX(0,Inputs_Actuals!N228-M15)+MAX(0,Inputs_Actuals!N229-M16)+MAX(0,Inputs_Actuals!N230-M17)+MAX(0,Inputs_Actuals!N231-M18)+MAX(0,Inputs_Actuals!N232-M19)+MAX(0,Inputs_Actuals!N233-M20)+MAX(0,Inputs_Actuals!N234-M21)+MAX(0,Inputs_Actuals!N235-M22)+MAX(0,Inputs_Actuals!N236-M23)+MAX(0,Inputs_Actuals!N237-M24)+MAX(0,Inputs_Actuals!N238-M25),1*Assumptions!$F$188+2*Assumptions!$F$188+IF(L$5="F",L30,0)*Assumptions!$F$189+IF(L$5="F",L31,0)*Assumptions!$F$189+IF(L$5="F",L32,0)*Assumptions!$F$189+IF(L$5="F",L33,0)*Assumptions!$F$189+IF(L$5="F",L34,0)*Assumptions!$F$189+IF(L$5="F",L35,0)*Assumptions!$F$189+IF(L$5="F",L36,0)*Assumptions!$F$189+IF(L$5="F",L37,0)*Assumptions!$F$189+IF(L$5="F",L38,0)*Assumptions!$F$189+IF(L$5="F",L39,0)*Assumptions!$F$189+IF(L$5="F",L40,0)*Assumptions!$F$189+IF(L$5="F",L41,0)*Assumptions!$F$189+IF(L$5="F",L42,0)*Assumptions!$F$189+IF(L$5="F",L43,0)*Assumptions!$F$189+IF(L$5="F",L44,0)*Assumptions!$F$189+IF(L$5="F",L45,0)*Assumptions!$F$189+IF(L$5="F",L46,0)*Assumptions!$F$189)</f>
        <v>3</v>
      </c>
      <c r="O47" s="75" t="n">
        <f aca="false">IF(O$5="A",MAX(0,Inputs_Actuals!O222-N9)+MAX(0,Inputs_Actuals!O223-N10)+MAX(0,Inputs_Actuals!O224-N11)+MAX(0,Inputs_Actuals!O225-N12)+MAX(0,Inputs_Actuals!O226-N13)+MAX(0,Inputs_Actuals!O227-N14)+MAX(0,Inputs_Actuals!O228-N15)+MAX(0,Inputs_Actuals!O229-N16)+MAX(0,Inputs_Actuals!O230-N17)+MAX(0,Inputs_Actuals!O231-N18)+MAX(0,Inputs_Actuals!O232-N19)+MAX(0,Inputs_Actuals!O233-N20)+MAX(0,Inputs_Actuals!O234-N21)+MAX(0,Inputs_Actuals!O235-N22)+MAX(0,Inputs_Actuals!O236-N23)+MAX(0,Inputs_Actuals!O237-N24)+MAX(0,Inputs_Actuals!O238-N25),1*Assumptions!$F$188+1*Assumptions!$F$188+IF(M$5="F",M30,0)*Assumptions!$F$189+IF(M$5="F",M31,0)*Assumptions!$F$189+IF(M$5="F",M32,0)*Assumptions!$F$189+IF(M$5="F",M33,0)*Assumptions!$F$189+IF(M$5="F",M34,0)*Assumptions!$F$189+IF(M$5="F",M35,0)*Assumptions!$F$189+IF(M$5="F",M36,0)*Assumptions!$F$189+IF(M$5="F",M37,0)*Assumptions!$F$189+IF(M$5="F",M38,0)*Assumptions!$F$189+IF(M$5="F",M39,0)*Assumptions!$F$189+IF(M$5="F",M40,0)*Assumptions!$F$189+IF(M$5="F",M41,0)*Assumptions!$F$189+IF(M$5="F",M42,0)*Assumptions!$F$189+IF(M$5="F",M43,0)*Assumptions!$F$189+IF(M$5="F",M44,0)*Assumptions!$F$189+IF(M$5="F",M45,0)*Assumptions!$F$189+IF(M$5="F",M46,0)*Assumptions!$F$189)</f>
        <v>2.69583333333333</v>
      </c>
      <c r="P47" s="75" t="n">
        <f aca="false">IF(P$5="A",MAX(0,Inputs_Actuals!P222-O9)+MAX(0,Inputs_Actuals!P223-O10)+MAX(0,Inputs_Actuals!P224-O11)+MAX(0,Inputs_Actuals!P225-O12)+MAX(0,Inputs_Actuals!P226-O13)+MAX(0,Inputs_Actuals!P227-O14)+MAX(0,Inputs_Actuals!P228-O15)+MAX(0,Inputs_Actuals!P229-O16)+MAX(0,Inputs_Actuals!P230-O17)+MAX(0,Inputs_Actuals!P231-O18)+MAX(0,Inputs_Actuals!P232-O19)+MAX(0,Inputs_Actuals!P233-O20)+MAX(0,Inputs_Actuals!P234-O21)+MAX(0,Inputs_Actuals!P235-O22)+MAX(0,Inputs_Actuals!P236-O23)+MAX(0,Inputs_Actuals!P237-O24)+MAX(0,Inputs_Actuals!P238-O25),0+IF(N$5="F",N30,0)*Assumptions!$F$189+IF(N$5="F",N31,0)*Assumptions!$F$189+IF(N$5="F",N32,0)*Assumptions!$F$189+IF(N$5="F",N33,0)*Assumptions!$F$189+IF(N$5="F",N34,0)*Assumptions!$F$189+IF(N$5="F",N35,0)*Assumptions!$F$189+IF(N$5="F",N36,0)*Assumptions!$F$189+IF(N$5="F",N37,0)*Assumptions!$F$189+IF(N$5="F",N38,0)*Assumptions!$F$189+IF(N$5="F",N39,0)*Assumptions!$F$189+IF(N$5="F",N40,0)*Assumptions!$F$189+IF(N$5="F",N41,0)*Assumptions!$F$189+IF(N$5="F",N42,0)*Assumptions!$F$189+IF(N$5="F",N43,0)*Assumptions!$F$189+IF(N$5="F",N44,0)*Assumptions!$F$189+IF(N$5="F",N45,0)*Assumptions!$F$189+IF(N$5="F",N46,0)*Assumptions!$F$189)</f>
        <v>0.688303472222222</v>
      </c>
      <c r="Q47" s="75" t="n">
        <f aca="false">IF(Q$5="A",MAX(0,Inputs_Actuals!Q222-P9)+MAX(0,Inputs_Actuals!Q223-P10)+MAX(0,Inputs_Actuals!Q224-P11)+MAX(0,Inputs_Actuals!Q225-P12)+MAX(0,Inputs_Actuals!Q226-P13)+MAX(0,Inputs_Actuals!Q227-P14)+MAX(0,Inputs_Actuals!Q228-P15)+MAX(0,Inputs_Actuals!Q229-P16)+MAX(0,Inputs_Actuals!Q230-P17)+MAX(0,Inputs_Actuals!Q231-P18)+MAX(0,Inputs_Actuals!Q232-P19)+MAX(0,Inputs_Actuals!Q233-P20)+MAX(0,Inputs_Actuals!Q234-P21)+MAX(0,Inputs_Actuals!Q235-P22)+MAX(0,Inputs_Actuals!Q236-P23)+MAX(0,Inputs_Actuals!Q237-P24)+MAX(0,Inputs_Actuals!Q238-P25),1*Assumptions!$F$188+1*Assumptions!$F$188+1*Assumptions!$F$188+1*Assumptions!$F$188+IF(O$5="F",O30,0)*Assumptions!$F$189+IF(O$5="F",O31,0)*Assumptions!$F$189+IF(O$5="F",O32,0)*Assumptions!$F$189+IF(O$5="F",O33,0)*Assumptions!$F$189+IF(O$5="F",O34,0)*Assumptions!$F$189+IF(O$5="F",O35,0)*Assumptions!$F$189+IF(O$5="F",O36,0)*Assumptions!$F$189+IF(O$5="F",O37,0)*Assumptions!$F$189+IF(O$5="F",O38,0)*Assumptions!$F$189+IF(O$5="F",O39,0)*Assumptions!$F$189+IF(O$5="F",O40,0)*Assumptions!$F$189+IF(O$5="F",O41,0)*Assumptions!$F$189+IF(O$5="F",O42,0)*Assumptions!$F$189+IF(O$5="F",O43,0)*Assumptions!$F$189+IF(O$5="F",O44,0)*Assumptions!$F$189+IF(O$5="F",O45,0)*Assumptions!$F$189+IF(O$5="F",O46,0)*Assumptions!$F$189)</f>
        <v>4.71585786168982</v>
      </c>
      <c r="R47" s="75" t="n">
        <f aca="false">IF(R$5="A",MAX(0,Inputs_Actuals!R222-Q9)+MAX(0,Inputs_Actuals!R223-Q10)+MAX(0,Inputs_Actuals!R224-Q11)+MAX(0,Inputs_Actuals!R225-Q12)+MAX(0,Inputs_Actuals!R226-Q13)+MAX(0,Inputs_Actuals!R227-Q14)+MAX(0,Inputs_Actuals!R228-Q15)+MAX(0,Inputs_Actuals!R229-Q16)+MAX(0,Inputs_Actuals!R230-Q17)+MAX(0,Inputs_Actuals!R231-Q18)+MAX(0,Inputs_Actuals!R232-Q19)+MAX(0,Inputs_Actuals!R233-Q20)+MAX(0,Inputs_Actuals!R234-Q21)+MAX(0,Inputs_Actuals!R235-Q22)+MAX(0,Inputs_Actuals!R236-Q23)+MAX(0,Inputs_Actuals!R237-Q24)+MAX(0,Inputs_Actuals!R238-Q25),0+IF(P$5="F",P30,0)*Assumptions!$F$189+IF(P$5="F",P31,0)*Assumptions!$F$189+IF(P$5="F",P32,0)*Assumptions!$F$189+IF(P$5="F",P33,0)*Assumptions!$F$189+IF(P$5="F",P34,0)*Assumptions!$F$189+IF(P$5="F",P35,0)*Assumptions!$F$189+IF(P$5="F",P36,0)*Assumptions!$F$189+IF(P$5="F",P37,0)*Assumptions!$F$189+IF(P$5="F",P38,0)*Assumptions!$F$189+IF(P$5="F",P39,0)*Assumptions!$F$189+IF(P$5="F",P40,0)*Assumptions!$F$189+IF(P$5="F",P41,0)*Assumptions!$F$189+IF(P$5="F",P42,0)*Assumptions!$F$189+IF(P$5="F",P43,0)*Assumptions!$F$189+IF(P$5="F",P44,0)*Assumptions!$F$189+IF(P$5="F",P45,0)*Assumptions!$F$189+IF(P$5="F",P46,0)*Assumptions!$F$189)</f>
        <v>0.738950401107736</v>
      </c>
      <c r="S47" s="75" t="n">
        <f aca="false">IF(S$5="A",MAX(0,Inputs_Actuals!S222-R9)+MAX(0,Inputs_Actuals!S223-R10)+MAX(0,Inputs_Actuals!S224-R11)+MAX(0,Inputs_Actuals!S225-R12)+MAX(0,Inputs_Actuals!S226-R13)+MAX(0,Inputs_Actuals!S227-R14)+MAX(0,Inputs_Actuals!S228-R15)+MAX(0,Inputs_Actuals!S229-R16)+MAX(0,Inputs_Actuals!S230-R17)+MAX(0,Inputs_Actuals!S231-R18)+MAX(0,Inputs_Actuals!S232-R19)+MAX(0,Inputs_Actuals!S233-R20)+MAX(0,Inputs_Actuals!S234-R21)+MAX(0,Inputs_Actuals!S235-R22)+MAX(0,Inputs_Actuals!S236-R23)+MAX(0,Inputs_Actuals!S237-R24)+MAX(0,Inputs_Actuals!S238-R25),1*Assumptions!$F$188+IF(Q$5="F",Q30,0)*Assumptions!$F$189+IF(Q$5="F",Q31,0)*Assumptions!$F$189+IF(Q$5="F",Q32,0)*Assumptions!$F$189+IF(Q$5="F",Q33,0)*Assumptions!$F$189+IF(Q$5="F",Q34,0)*Assumptions!$F$189+IF(Q$5="F",Q35,0)*Assumptions!$F$189+IF(Q$5="F",Q36,0)*Assumptions!$F$189+IF(Q$5="F",Q37,0)*Assumptions!$F$189+IF(Q$5="F",Q38,0)*Assumptions!$F$189+IF(Q$5="F",Q39,0)*Assumptions!$F$189+IF(Q$5="F",Q40,0)*Assumptions!$F$189+IF(Q$5="F",Q41,0)*Assumptions!$F$189+IF(Q$5="F",Q42,0)*Assumptions!$F$189+IF(Q$5="F",Q43,0)*Assumptions!$F$189+IF(Q$5="F",Q44,0)*Assumptions!$F$189+IF(Q$5="F",Q45,0)*Assumptions!$F$189+IF(Q$5="F",Q46,0)*Assumptions!$F$189)</f>
        <v>1.73835598591755</v>
      </c>
      <c r="T47" s="75" t="n">
        <f aca="false">IF(T$5="A",MAX(0,Inputs_Actuals!T222-S9)+MAX(0,Inputs_Actuals!T223-S10)+MAX(0,Inputs_Actuals!T224-S11)+MAX(0,Inputs_Actuals!T225-S12)+MAX(0,Inputs_Actuals!T226-S13)+MAX(0,Inputs_Actuals!T227-S14)+MAX(0,Inputs_Actuals!T228-S15)+MAX(0,Inputs_Actuals!T229-S16)+MAX(0,Inputs_Actuals!T230-S17)+MAX(0,Inputs_Actuals!T231-S18)+MAX(0,Inputs_Actuals!T232-S19)+MAX(0,Inputs_Actuals!T233-S20)+MAX(0,Inputs_Actuals!T234-S21)+MAX(0,Inputs_Actuals!T235-S22)+MAX(0,Inputs_Actuals!T236-S23)+MAX(0,Inputs_Actuals!T237-S24)+MAX(0,Inputs_Actuals!T238-S25),1*Assumptions!$F$188+IF(R$5="F",R30,0)*Assumptions!$F$189+IF(R$5="F",R31,0)*Assumptions!$F$189+IF(R$5="F",R32,0)*Assumptions!$F$189+IF(R$5="F",R33,0)*Assumptions!$F$189+IF(R$5="F",R34,0)*Assumptions!$F$189+IF(R$5="F",R35,0)*Assumptions!$F$189+IF(R$5="F",R36,0)*Assumptions!$F$189+IF(R$5="F",R37,0)*Assumptions!$F$189+IF(R$5="F",R38,0)*Assumptions!$F$189+IF(R$5="F",R39,0)*Assumptions!$F$189+IF(R$5="F",R40,0)*Assumptions!$F$189+IF(R$5="F",R41,0)*Assumptions!$F$189+IF(R$5="F",R42,0)*Assumptions!$F$189+IF(R$5="F",R43,0)*Assumptions!$F$189+IF(R$5="F",R44,0)*Assumptions!$F$189+IF(R$5="F",R45,0)*Assumptions!$F$189+IF(R$5="F",R46,0)*Assumptions!$F$189)</f>
        <v>1.78226023760392</v>
      </c>
      <c r="U47" s="75" t="n">
        <f aca="false">IF(U$5="A",MAX(0,Inputs_Actuals!U222-T9)+MAX(0,Inputs_Actuals!U223-T10)+MAX(0,Inputs_Actuals!U224-T11)+MAX(0,Inputs_Actuals!U225-T12)+MAX(0,Inputs_Actuals!U226-T13)+MAX(0,Inputs_Actuals!U227-T14)+MAX(0,Inputs_Actuals!U228-T15)+MAX(0,Inputs_Actuals!U229-T16)+MAX(0,Inputs_Actuals!U230-T17)+MAX(0,Inputs_Actuals!U231-T18)+MAX(0,Inputs_Actuals!U232-T19)+MAX(0,Inputs_Actuals!U233-T20)+MAX(0,Inputs_Actuals!U234-T21)+MAX(0,Inputs_Actuals!U235-T22)+MAX(0,Inputs_Actuals!U236-T23)+MAX(0,Inputs_Actuals!U237-T24)+MAX(0,Inputs_Actuals!U238-T25),0+IF(S$5="F",S30,0)*Assumptions!$F$189+IF(S$5="F",S31,0)*Assumptions!$F$189+IF(S$5="F",S32,0)*Assumptions!$F$189+IF(S$5="F",S33,0)*Assumptions!$F$189+IF(S$5="F",S34,0)*Assumptions!$F$189+IF(S$5="F",S35,0)*Assumptions!$F$189+IF(S$5="F",S36,0)*Assumptions!$F$189+IF(S$5="F",S37,0)*Assumptions!$F$189+IF(S$5="F",S38,0)*Assumptions!$F$189+IF(S$5="F",S39,0)*Assumptions!$F$189+IF(S$5="F",S40,0)*Assumptions!$F$189+IF(S$5="F",S41,0)*Assumptions!$F$189+IF(S$5="F",S42,0)*Assumptions!$F$189+IF(S$5="F",S43,0)*Assumptions!$F$189+IF(S$5="F",S44,0)*Assumptions!$F$189+IF(S$5="F",S45,0)*Assumptions!$F$189+IF(S$5="F",S46,0)*Assumptions!$F$189)</f>
        <v>0.781772337849559</v>
      </c>
      <c r="V47" s="75" t="n">
        <f aca="false">IF(V$5="A",MAX(0,Inputs_Actuals!V222-U9)+MAX(0,Inputs_Actuals!V223-U10)+MAX(0,Inputs_Actuals!V224-U11)+MAX(0,Inputs_Actuals!V225-U12)+MAX(0,Inputs_Actuals!V226-U13)+MAX(0,Inputs_Actuals!V227-U14)+MAX(0,Inputs_Actuals!V228-U15)+MAX(0,Inputs_Actuals!V229-U16)+MAX(0,Inputs_Actuals!V230-U17)+MAX(0,Inputs_Actuals!V231-U18)+MAX(0,Inputs_Actuals!V232-U19)+MAX(0,Inputs_Actuals!V233-U20)+MAX(0,Inputs_Actuals!V234-U21)+MAX(0,Inputs_Actuals!V235-U22)+MAX(0,Inputs_Actuals!V236-U23)+MAX(0,Inputs_Actuals!V237-U24)+MAX(0,Inputs_Actuals!V238-U25),1*Assumptions!$F$188+IF(T$5="F",T30,0)*Assumptions!$F$189+IF(T$5="F",T31,0)*Assumptions!$F$189+IF(T$5="F",T32,0)*Assumptions!$F$189+IF(T$5="F",T33,0)*Assumptions!$F$189+IF(T$5="F",T34,0)*Assumptions!$F$189+IF(T$5="F",T35,0)*Assumptions!$F$189+IF(T$5="F",T36,0)*Assumptions!$F$189+IF(T$5="F",T37,0)*Assumptions!$F$189+IF(T$5="F",T38,0)*Assumptions!$F$189+IF(T$5="F",T39,0)*Assumptions!$F$189+IF(T$5="F",T40,0)*Assumptions!$F$189+IF(T$5="F",T41,0)*Assumptions!$F$189+IF(T$5="F",T42,0)*Assumptions!$F$189+IF(T$5="F",T43,0)*Assumptions!$F$189+IF(T$5="F",T44,0)*Assumptions!$F$189+IF(T$5="F",T45,0)*Assumptions!$F$189+IF(T$5="F",T46,0)*Assumptions!$F$189)</f>
        <v>1.7929497398336</v>
      </c>
      <c r="W47" s="75" t="n">
        <f aca="false">IF(W$5="A",MAX(0,Inputs_Actuals!W222-V9)+MAX(0,Inputs_Actuals!W223-V10)+MAX(0,Inputs_Actuals!W224-V11)+MAX(0,Inputs_Actuals!W225-V12)+MAX(0,Inputs_Actuals!W226-V13)+MAX(0,Inputs_Actuals!W227-V14)+MAX(0,Inputs_Actuals!W228-V15)+MAX(0,Inputs_Actuals!W229-V16)+MAX(0,Inputs_Actuals!W230-V17)+MAX(0,Inputs_Actuals!W231-V18)+MAX(0,Inputs_Actuals!W232-V19)+MAX(0,Inputs_Actuals!W233-V20)+MAX(0,Inputs_Actuals!W234-V21)+MAX(0,Inputs_Actuals!W235-V22)+MAX(0,Inputs_Actuals!W236-V23)+MAX(0,Inputs_Actuals!W237-V24)+MAX(0,Inputs_Actuals!W238-V25),0+IF(U$5="F",U30,0)*Assumptions!$F$189+IF(U$5="F",U31,0)*Assumptions!$F$189+IF(U$5="F",U32,0)*Assumptions!$F$189+IF(U$5="F",U33,0)*Assumptions!$F$189+IF(U$5="F",U34,0)*Assumptions!$F$189+IF(U$5="F",U35,0)*Assumptions!$F$189+IF(U$5="F",U36,0)*Assumptions!$F$189+IF(U$5="F",U37,0)*Assumptions!$F$189+IF(U$5="F",U38,0)*Assumptions!$F$189+IF(U$5="F",U39,0)*Assumptions!$F$189+IF(U$5="F",U40,0)*Assumptions!$F$189+IF(U$5="F",U41,0)*Assumptions!$F$189+IF(U$5="F",U42,0)*Assumptions!$F$189+IF(U$5="F",U43,0)*Assumptions!$F$189+IF(U$5="F",U44,0)*Assumptions!$F$189+IF(U$5="F",U45,0)*Assumptions!$F$189+IF(U$5="F",U46,0)*Assumptions!$F$189)</f>
        <v>0.804491493293559</v>
      </c>
      <c r="X47" s="75" t="n">
        <f aca="false">IF(X$5="A",MAX(0,Inputs_Actuals!X222-W9)+MAX(0,Inputs_Actuals!X223-W10)+MAX(0,Inputs_Actuals!X224-W11)+MAX(0,Inputs_Actuals!X225-W12)+MAX(0,Inputs_Actuals!X226-W13)+MAX(0,Inputs_Actuals!X227-W14)+MAX(0,Inputs_Actuals!X228-W15)+MAX(0,Inputs_Actuals!X229-W16)+MAX(0,Inputs_Actuals!X230-W17)+MAX(0,Inputs_Actuals!X231-W18)+MAX(0,Inputs_Actuals!X232-W19)+MAX(0,Inputs_Actuals!X233-W20)+MAX(0,Inputs_Actuals!X234-W21)+MAX(0,Inputs_Actuals!X235-W22)+MAX(0,Inputs_Actuals!X236-W23)+MAX(0,Inputs_Actuals!X237-W24)+MAX(0,Inputs_Actuals!X238-W25),0+IF(V$5="F",V30,0)*Assumptions!$F$189+IF(V$5="F",V31,0)*Assumptions!$F$189+IF(V$5="F",V32,0)*Assumptions!$F$189+IF(V$5="F",V33,0)*Assumptions!$F$189+IF(V$5="F",V34,0)*Assumptions!$F$189+IF(V$5="F",V35,0)*Assumptions!$F$189+IF(V$5="F",V36,0)*Assumptions!$F$189+IF(V$5="F",V37,0)*Assumptions!$F$189+IF(V$5="F",V38,0)*Assumptions!$F$189+IF(V$5="F",V39,0)*Assumptions!$F$189+IF(V$5="F",V40,0)*Assumptions!$F$189+IF(V$5="F",V41,0)*Assumptions!$F$189+IF(V$5="F",V42,0)*Assumptions!$F$189+IF(V$5="F",V43,0)*Assumptions!$F$189+IF(V$5="F",V44,0)*Assumptions!$F$189+IF(V$5="F",V45,0)*Assumptions!$F$189+IF(V$5="F",V46,0)*Assumptions!$F$189)</f>
        <v>0.804226336116269</v>
      </c>
      <c r="Y47" s="75" t="n">
        <f aca="false">IF(Y$5="A",MAX(0,Inputs_Actuals!Y222-X9)+MAX(0,Inputs_Actuals!Y223-X10)+MAX(0,Inputs_Actuals!Y224-X11)+MAX(0,Inputs_Actuals!Y225-X12)+MAX(0,Inputs_Actuals!Y226-X13)+MAX(0,Inputs_Actuals!Y227-X14)+MAX(0,Inputs_Actuals!Y228-X15)+MAX(0,Inputs_Actuals!Y229-X16)+MAX(0,Inputs_Actuals!Y230-X17)+MAX(0,Inputs_Actuals!Y231-X18)+MAX(0,Inputs_Actuals!Y232-X19)+MAX(0,Inputs_Actuals!Y233-X20)+MAX(0,Inputs_Actuals!Y234-X21)+MAX(0,Inputs_Actuals!Y235-X22)+MAX(0,Inputs_Actuals!Y236-X23)+MAX(0,Inputs_Actuals!Y237-X24)+MAX(0,Inputs_Actuals!Y238-X25),0+IF(W$5="F",W30,0)*Assumptions!$F$189+IF(W$5="F",W31,0)*Assumptions!$F$189+IF(W$5="F",W32,0)*Assumptions!$F$189+IF(W$5="F",W33,0)*Assumptions!$F$189+IF(W$5="F",W34,0)*Assumptions!$F$189+IF(W$5="F",W35,0)*Assumptions!$F$189+IF(W$5="F",W36,0)*Assumptions!$F$189+IF(W$5="F",W37,0)*Assumptions!$F$189+IF(W$5="F",W38,0)*Assumptions!$F$189+IF(W$5="F",W39,0)*Assumptions!$F$189+IF(W$5="F",W40,0)*Assumptions!$F$189+IF(W$5="F",W41,0)*Assumptions!$F$189+IF(W$5="F",W42,0)*Assumptions!$F$189+IF(W$5="F",W43,0)*Assumptions!$F$189+IF(W$5="F",W44,0)*Assumptions!$F$189+IF(W$5="F",W45,0)*Assumptions!$F$189+IF(W$5="F",W46,0)*Assumptions!$F$189)</f>
        <v>0.815761443414401</v>
      </c>
      <c r="Z47" s="75" t="n">
        <f aca="false">IF(Z$5="A",MAX(0,Inputs_Actuals!Z222-Y9)+MAX(0,Inputs_Actuals!Z223-Y10)+MAX(0,Inputs_Actuals!Z224-Y11)+MAX(0,Inputs_Actuals!Z225-Y12)+MAX(0,Inputs_Actuals!Z226-Y13)+MAX(0,Inputs_Actuals!Z227-Y14)+MAX(0,Inputs_Actuals!Z228-Y15)+MAX(0,Inputs_Actuals!Z229-Y16)+MAX(0,Inputs_Actuals!Z230-Y17)+MAX(0,Inputs_Actuals!Z231-Y18)+MAX(0,Inputs_Actuals!Z232-Y19)+MAX(0,Inputs_Actuals!Z233-Y20)+MAX(0,Inputs_Actuals!Z234-Y21)+MAX(0,Inputs_Actuals!Z235-Y22)+MAX(0,Inputs_Actuals!Z236-Y23)+MAX(0,Inputs_Actuals!Z237-Y24)+MAX(0,Inputs_Actuals!Z238-Y25),0+IF(X$5="F",X30,0)*Assumptions!$F$189+IF(X$5="F",X31,0)*Assumptions!$F$189+IF(X$5="F",X32,0)*Assumptions!$F$189+IF(X$5="F",X33,0)*Assumptions!$F$189+IF(X$5="F",X34,0)*Assumptions!$F$189+IF(X$5="F",X35,0)*Assumptions!$F$189+IF(X$5="F",X36,0)*Assumptions!$F$189+IF(X$5="F",X37,0)*Assumptions!$F$189+IF(X$5="F",X38,0)*Assumptions!$F$189+IF(X$5="F",X39,0)*Assumptions!$F$189+IF(X$5="F",X40,0)*Assumptions!$F$189+IF(X$5="F",X41,0)*Assumptions!$F$189+IF(X$5="F",X42,0)*Assumptions!$F$189+IF(X$5="F",X43,0)*Assumptions!$F$189+IF(X$5="F",X44,0)*Assumptions!$F$189+IF(X$5="F",X45,0)*Assumptions!$F$189+IF(X$5="F",X46,0)*Assumptions!$F$189)</f>
        <v>0.815629960989455</v>
      </c>
      <c r="AA47" s="75" t="n">
        <f aca="false">IF(AA$5="A",MAX(0,Inputs_Actuals!AA222-Z9)+MAX(0,Inputs_Actuals!AA223-Z10)+MAX(0,Inputs_Actuals!AA224-Z11)+MAX(0,Inputs_Actuals!AA225-Z12)+MAX(0,Inputs_Actuals!AA226-Z13)+MAX(0,Inputs_Actuals!AA227-Z14)+MAX(0,Inputs_Actuals!AA228-Z15)+MAX(0,Inputs_Actuals!AA229-Z16)+MAX(0,Inputs_Actuals!AA230-Z17)+MAX(0,Inputs_Actuals!AA231-Z18)+MAX(0,Inputs_Actuals!AA232-Z19)+MAX(0,Inputs_Actuals!AA233-Z20)+MAX(0,Inputs_Actuals!AA234-Z21)+MAX(0,Inputs_Actuals!AA235-Z22)+MAX(0,Inputs_Actuals!AA236-Z23)+MAX(0,Inputs_Actuals!AA237-Z24)+MAX(0,Inputs_Actuals!AA238-Z25),0+IF(Y$5="F",Y30,0)*Assumptions!$F$189+IF(Y$5="F",Y31,0)*Assumptions!$F$189+IF(Y$5="F",Y32,0)*Assumptions!$F$189+IF(Y$5="F",Y33,0)*Assumptions!$F$189+IF(Y$5="F",Y34,0)*Assumptions!$F$189+IF(Y$5="F",Y35,0)*Assumptions!$F$189+IF(Y$5="F",Y36,0)*Assumptions!$F$189+IF(Y$5="F",Y37,0)*Assumptions!$F$189+IF(Y$5="F",Y38,0)*Assumptions!$F$189+IF(Y$5="F",Y39,0)*Assumptions!$F$189+IF(Y$5="F",Y40,0)*Assumptions!$F$189+IF(Y$5="F",Y41,0)*Assumptions!$F$189+IF(Y$5="F",Y42,0)*Assumptions!$F$189+IF(Y$5="F",Y43,0)*Assumptions!$F$189+IF(Y$5="F",Y44,0)*Assumptions!$F$189+IF(Y$5="F",Y45,0)*Assumptions!$F$189+IF(Y$5="F",Y46,0)*Assumptions!$F$189)</f>
        <v>0.81549691871516</v>
      </c>
      <c r="AB47" s="75" t="n">
        <f aca="false">IF(AB$5="A",MAX(0,Inputs_Actuals!AB222-AA9)+MAX(0,Inputs_Actuals!AB223-AA10)+MAX(0,Inputs_Actuals!AB224-AA11)+MAX(0,Inputs_Actuals!AB225-AA12)+MAX(0,Inputs_Actuals!AB226-AA13)+MAX(0,Inputs_Actuals!AB227-AA14)+MAX(0,Inputs_Actuals!AB228-AA15)+MAX(0,Inputs_Actuals!AB229-AA16)+MAX(0,Inputs_Actuals!AB230-AA17)+MAX(0,Inputs_Actuals!AB231-AA18)+MAX(0,Inputs_Actuals!AB232-AA19)+MAX(0,Inputs_Actuals!AB233-AA20)+MAX(0,Inputs_Actuals!AB234-AA21)+MAX(0,Inputs_Actuals!AB235-AA22)+MAX(0,Inputs_Actuals!AB236-AA23)+MAX(0,Inputs_Actuals!AB237-AA24)+MAX(0,Inputs_Actuals!AB238-AA25),0+IF(Z$5="F",Z30,0)*Assumptions!$F$189+IF(Z$5="F",Z31,0)*Assumptions!$F$189+IF(Z$5="F",Z32,0)*Assumptions!$F$189+IF(Z$5="F",Z33,0)*Assumptions!$F$189+IF(Z$5="F",Z34,0)*Assumptions!$F$189+IF(Z$5="F",Z35,0)*Assumptions!$F$189+IF(Z$5="F",Z36,0)*Assumptions!$F$189+IF(Z$5="F",Z37,0)*Assumptions!$F$189+IF(Z$5="F",Z38,0)*Assumptions!$F$189+IF(Z$5="F",Z39,0)*Assumptions!$F$189+IF(Z$5="F",Z40,0)*Assumptions!$F$189+IF(Z$5="F",Z41,0)*Assumptions!$F$189+IF(Z$5="F",Z42,0)*Assumptions!$F$189+IF(Z$5="F",Z43,0)*Assumptions!$F$189+IF(Z$5="F",Z44,0)*Assumptions!$F$189+IF(Z$5="F",Z45,0)*Assumptions!$F$189+IF(Z$5="F",Z46,0)*Assumptions!$F$189)</f>
        <v>0.815500004839747</v>
      </c>
    </row>
    <row r="48" customFormat="false" ht="15" hidden="false" customHeight="false" outlineLevel="0" collapsed="false">
      <c r="A48" s="27" t="s">
        <v>1117</v>
      </c>
      <c r="B48" s="63"/>
      <c r="C48" s="74" t="n">
        <f aca="false">SUM(E48:P48)</f>
        <v>5</v>
      </c>
      <c r="D48" s="74" t="n">
        <f aca="false">SUM(Q48:AB48)</f>
        <v>7</v>
      </c>
      <c r="E48" s="86" t="n">
        <f aca="false">IF(E$5="A",0,0)</f>
        <v>0</v>
      </c>
      <c r="F48" s="86" t="n">
        <f aca="false">IF(F$5="A",0,0)</f>
        <v>0</v>
      </c>
      <c r="G48" s="86" t="n">
        <f aca="false">IF(G$5="A",0,0)</f>
        <v>0</v>
      </c>
      <c r="H48" s="86" t="n">
        <f aca="false">IF(H$5="A",0,0)</f>
        <v>0</v>
      </c>
      <c r="I48" s="86" t="n">
        <f aca="false">IF(I$5="A",0,0)</f>
        <v>0</v>
      </c>
      <c r="J48" s="86" t="n">
        <f aca="false">IF(J$5="A",0,0)</f>
        <v>0</v>
      </c>
      <c r="K48" s="86" t="n">
        <f aca="false">IF(K$5="A",0,0)</f>
        <v>0</v>
      </c>
      <c r="L48" s="86" t="n">
        <f aca="false">IF(L$5="A",0,0)</f>
        <v>0</v>
      </c>
      <c r="M48" s="86" t="n">
        <f aca="false">IF(M$5="A",0,0)</f>
        <v>0</v>
      </c>
      <c r="N48" s="75" t="n">
        <f aca="false">IF(N$5="A",0,1*Assumptions!$F$188+2*Assumptions!$F$188)</f>
        <v>3</v>
      </c>
      <c r="O48" s="75" t="n">
        <f aca="false">IF(O$5="A",0,1*Assumptions!$F$188+1*Assumptions!$F$188)</f>
        <v>2</v>
      </c>
      <c r="P48" s="86" t="n">
        <f aca="false">IF(P$5="A",0,0)</f>
        <v>0</v>
      </c>
      <c r="Q48" s="75" t="n">
        <f aca="false">IF(Q$5="A",0,1*Assumptions!$F$188+1*Assumptions!$F$188+1*Assumptions!$F$188+1*Assumptions!$F$188)</f>
        <v>4</v>
      </c>
      <c r="R48" s="86" t="n">
        <f aca="false">IF(R$5="A",0,0)</f>
        <v>0</v>
      </c>
      <c r="S48" s="75" t="n">
        <f aca="false">IF(S$5="A",0,1*Assumptions!$F$188)</f>
        <v>1</v>
      </c>
      <c r="T48" s="75" t="n">
        <f aca="false">IF(T$5="A",0,1*Assumptions!$F$188)</f>
        <v>1</v>
      </c>
      <c r="U48" s="86" t="n">
        <f aca="false">IF(U$5="A",0,0)</f>
        <v>0</v>
      </c>
      <c r="V48" s="75" t="n">
        <f aca="false">IF(V$5="A",0,1*Assumptions!$F$188)</f>
        <v>1</v>
      </c>
      <c r="W48" s="86" t="n">
        <f aca="false">IF(W$5="A",0,0)</f>
        <v>0</v>
      </c>
      <c r="X48" s="86" t="n">
        <f aca="false">IF(X$5="A",0,0)</f>
        <v>0</v>
      </c>
      <c r="Y48" s="86" t="n">
        <f aca="false">IF(Y$5="A",0,0)</f>
        <v>0</v>
      </c>
      <c r="Z48" s="86" t="n">
        <f aca="false">IF(Z$5="A",0,0)</f>
        <v>0</v>
      </c>
      <c r="AA48" s="86" t="n">
        <f aca="false">IF(AA$5="A",0,0)</f>
        <v>0</v>
      </c>
      <c r="AB48" s="86" t="n">
        <f aca="false">IF(AB$5="A",0,0)</f>
        <v>0</v>
      </c>
    </row>
    <row r="49" customFormat="false" ht="15" hidden="false" customHeight="false" outlineLevel="0" collapsed="false">
      <c r="A49" s="27" t="s">
        <v>1118</v>
      </c>
      <c r="B49" s="63"/>
      <c r="C49" s="74" t="n">
        <f aca="false">SUM(E49:P49)</f>
        <v>6.83894506835311</v>
      </c>
      <c r="D49" s="74" t="n">
        <f aca="false">SUM(Q49:AB49)</f>
        <v>9.5974474468684</v>
      </c>
      <c r="E49" s="75" t="n">
        <f aca="false">IF(E$5="A",MAX(0,Assumptions!$E$61-Inputs_Actuals!E222)+MAX(0,Assumptions!$E$62-Inputs_Actuals!E223)+MAX(0,Assumptions!$E$63-Inputs_Actuals!E224)+MAX(0,Assumptions!$E$64-Inputs_Actuals!E225)+MAX(0,Assumptions!$E$65-Inputs_Actuals!E226)+MAX(0,Assumptions!$E$66-Inputs_Actuals!E227)+MAX(0,Assumptions!$E$67-Inputs_Actuals!E228)+MAX(0,Assumptions!$E$68-Inputs_Actuals!E229)+MAX(0,Assumptions!$E$69-Inputs_Actuals!E230)+MAX(0,Assumptions!$E$70-Inputs_Actuals!E231)+MAX(0,Assumptions!$E$71-Inputs_Actuals!E232)+MAX(0,Assumptions!$E$72-Inputs_Actuals!E233)+MAX(0,Assumptions!$E$73-Inputs_Actuals!E234)+MAX(0,Assumptions!$E$74-Inputs_Actuals!E235)+MAX(0,Assumptions!$E$75-Inputs_Actuals!E236)+MAX(0,Assumptions!$E$76-Inputs_Actuals!E237)+MAX(0,Assumptions!$E$77-Inputs_Actuals!E238),E30+E31+E32+E33+E34+E35+E36+E37+E38+E39+E40+E41+E42+E43+E44+E45+E46)</f>
        <v>0</v>
      </c>
      <c r="F49" s="75" t="n">
        <f aca="false">IF(F$5="A",MAX(0,E9-Inputs_Actuals!F222)+MAX(0,E10-Inputs_Actuals!F223)+MAX(0,E11-Inputs_Actuals!F224)+MAX(0,E12-Inputs_Actuals!F225)+MAX(0,E13-Inputs_Actuals!F226)+MAX(0,E14-Inputs_Actuals!F227)+MAX(0,E15-Inputs_Actuals!F228)+MAX(0,E16-Inputs_Actuals!F229)+MAX(0,E17-Inputs_Actuals!F230)+MAX(0,E18-Inputs_Actuals!F231)+MAX(0,E19-Inputs_Actuals!F232)+MAX(0,E20-Inputs_Actuals!F233)+MAX(0,E21-Inputs_Actuals!F234)+MAX(0,E22-Inputs_Actuals!F235)+MAX(0,E23-Inputs_Actuals!F236)+MAX(0,E24-Inputs_Actuals!F237)+MAX(0,E25-Inputs_Actuals!F238),F30+F31+F32+F33+F34+F35+F36+F37+F38+F39+F40+F41+F42+F43+F44+F45+F46)</f>
        <v>0</v>
      </c>
      <c r="G49" s="75" t="n">
        <f aca="false">IF(G$5="A",MAX(0,F9-Inputs_Actuals!G222)+MAX(0,F10-Inputs_Actuals!G223)+MAX(0,F11-Inputs_Actuals!G224)+MAX(0,F12-Inputs_Actuals!G225)+MAX(0,F13-Inputs_Actuals!G226)+MAX(0,F14-Inputs_Actuals!G227)+MAX(0,F15-Inputs_Actuals!G228)+MAX(0,F16-Inputs_Actuals!G229)+MAX(0,F17-Inputs_Actuals!G230)+MAX(0,F18-Inputs_Actuals!G231)+MAX(0,F19-Inputs_Actuals!G232)+MAX(0,F20-Inputs_Actuals!G233)+MAX(0,F21-Inputs_Actuals!G234)+MAX(0,F22-Inputs_Actuals!G235)+MAX(0,F23-Inputs_Actuals!G236)+MAX(0,F24-Inputs_Actuals!G237)+MAX(0,F25-Inputs_Actuals!G238),G30+G31+G32+G33+G34+G35+G36+G37+G38+G39+G40+G41+G42+G43+G44+G45+G46)</f>
        <v>1</v>
      </c>
      <c r="H49" s="75" t="n">
        <f aca="false">IF(H$5="A",MAX(0,G9-Inputs_Actuals!H222)+MAX(0,G10-Inputs_Actuals!H223)+MAX(0,G11-Inputs_Actuals!H224)+MAX(0,G12-Inputs_Actuals!H225)+MAX(0,G13-Inputs_Actuals!H226)+MAX(0,G14-Inputs_Actuals!H227)+MAX(0,G15-Inputs_Actuals!H228)+MAX(0,G16-Inputs_Actuals!H229)+MAX(0,G17-Inputs_Actuals!H230)+MAX(0,G18-Inputs_Actuals!H231)+MAX(0,G19-Inputs_Actuals!H232)+MAX(0,G20-Inputs_Actuals!H233)+MAX(0,G21-Inputs_Actuals!H234)+MAX(0,G22-Inputs_Actuals!H235)+MAX(0,G23-Inputs_Actuals!H236)+MAX(0,G24-Inputs_Actuals!H237)+MAX(0,G25-Inputs_Actuals!H238),H30+H31+H32+H33+H34+H35+H36+H37+H38+H39+H40+H41+H42+H43+H44+H45+H46)</f>
        <v>1</v>
      </c>
      <c r="I49" s="75" t="n">
        <f aca="false">IF(I$5="A",MAX(0,H9-Inputs_Actuals!I222)+MAX(0,H10-Inputs_Actuals!I223)+MAX(0,H11-Inputs_Actuals!I224)+MAX(0,H12-Inputs_Actuals!I225)+MAX(0,H13-Inputs_Actuals!I226)+MAX(0,H14-Inputs_Actuals!I227)+MAX(0,H15-Inputs_Actuals!I228)+MAX(0,H16-Inputs_Actuals!I229)+MAX(0,H17-Inputs_Actuals!I230)+MAX(0,H18-Inputs_Actuals!I231)+MAX(0,H19-Inputs_Actuals!I232)+MAX(0,H20-Inputs_Actuals!I233)+MAX(0,H21-Inputs_Actuals!I234)+MAX(0,H22-Inputs_Actuals!I235)+MAX(0,H23-Inputs_Actuals!I236)+MAX(0,H24-Inputs_Actuals!I237)+MAX(0,H25-Inputs_Actuals!I238),I30+I31+I32+I33+I34+I35+I36+I37+I38+I39+I40+I41+I42+I43+I44+I45+I46)</f>
        <v>1</v>
      </c>
      <c r="J49" s="75" t="n">
        <f aca="false">IF(J$5="A",MAX(0,I9-Inputs_Actuals!J222)+MAX(0,I10-Inputs_Actuals!J223)+MAX(0,I11-Inputs_Actuals!J224)+MAX(0,I12-Inputs_Actuals!J225)+MAX(0,I13-Inputs_Actuals!J226)+MAX(0,I14-Inputs_Actuals!J227)+MAX(0,I15-Inputs_Actuals!J228)+MAX(0,I16-Inputs_Actuals!J229)+MAX(0,I17-Inputs_Actuals!J230)+MAX(0,I18-Inputs_Actuals!J231)+MAX(0,I19-Inputs_Actuals!J232)+MAX(0,I20-Inputs_Actuals!J233)+MAX(0,I21-Inputs_Actuals!J234)+MAX(0,I22-Inputs_Actuals!J235)+MAX(0,I23-Inputs_Actuals!J236)+MAX(0,I24-Inputs_Actuals!J237)+MAX(0,I25-Inputs_Actuals!J238),J30+J31+J32+J33+J34+J35+J36+J37+J38+J39+J40+J41+J42+J43+J44+J45+J46)</f>
        <v>1</v>
      </c>
      <c r="K49" s="75" t="n">
        <f aca="false">IF(K$5="A",MAX(0,J9-Inputs_Actuals!K222)+MAX(0,J10-Inputs_Actuals!K223)+MAX(0,J11-Inputs_Actuals!K224)+MAX(0,J12-Inputs_Actuals!K225)+MAX(0,J13-Inputs_Actuals!K226)+MAX(0,J14-Inputs_Actuals!K227)+MAX(0,J15-Inputs_Actuals!K228)+MAX(0,J16-Inputs_Actuals!K229)+MAX(0,J17-Inputs_Actuals!K230)+MAX(0,J18-Inputs_Actuals!K231)+MAX(0,J19-Inputs_Actuals!K232)+MAX(0,J20-Inputs_Actuals!K233)+MAX(0,J21-Inputs_Actuals!K234)+MAX(0,J22-Inputs_Actuals!K235)+MAX(0,J23-Inputs_Actuals!K236)+MAX(0,J24-Inputs_Actuals!K237)+MAX(0,J25-Inputs_Actuals!K238),K30+K31+K32+K33+K34+K35+K36+K37+K38+K39+K40+K41+K42+K43+K44+K45+K46)</f>
        <v>0</v>
      </c>
      <c r="L49" s="75" t="n">
        <f aca="false">IF(L$5="A",MAX(0,K9-Inputs_Actuals!L222)+MAX(0,K10-Inputs_Actuals!L223)+MAX(0,K11-Inputs_Actuals!L224)+MAX(0,K12-Inputs_Actuals!L225)+MAX(0,K13-Inputs_Actuals!L226)+MAX(0,K14-Inputs_Actuals!L227)+MAX(0,K15-Inputs_Actuals!L228)+MAX(0,K16-Inputs_Actuals!L229)+MAX(0,K17-Inputs_Actuals!L230)+MAX(0,K18-Inputs_Actuals!L231)+MAX(0,K19-Inputs_Actuals!L232)+MAX(0,K20-Inputs_Actuals!L233)+MAX(0,K21-Inputs_Actuals!L234)+MAX(0,K22-Inputs_Actuals!L235)+MAX(0,K23-Inputs_Actuals!L236)+MAX(0,K24-Inputs_Actuals!L237)+MAX(0,K25-Inputs_Actuals!L238),L30+L31+L32+L33+L34+L35+L36+L37+L38+L39+L40+L41+L42+L43+L44+L45+L46)</f>
        <v>0</v>
      </c>
      <c r="M49" s="75" t="n">
        <f aca="false">IF(M$5="A",MAX(0,L9-Inputs_Actuals!M222)+MAX(0,L10-Inputs_Actuals!M223)+MAX(0,L11-Inputs_Actuals!M224)+MAX(0,L12-Inputs_Actuals!M225)+MAX(0,L13-Inputs_Actuals!M226)+MAX(0,L14-Inputs_Actuals!M227)+MAX(0,L15-Inputs_Actuals!M228)+MAX(0,L16-Inputs_Actuals!M229)+MAX(0,L17-Inputs_Actuals!M230)+MAX(0,L18-Inputs_Actuals!M231)+MAX(0,L19-Inputs_Actuals!M232)+MAX(0,L20-Inputs_Actuals!M233)+MAX(0,L21-Inputs_Actuals!M234)+MAX(0,L22-Inputs_Actuals!M235)+MAX(0,L23-Inputs_Actuals!M236)+MAX(0,L24-Inputs_Actuals!M237)+MAX(0,L25-Inputs_Actuals!M238),M30+M31+M32+M33+M34+M35+M36+M37+M38+M39+M40+M41+M42+M43+M44+M45+M46)</f>
        <v>0.695833333333333</v>
      </c>
      <c r="N49" s="75" t="n">
        <f aca="false">IF(N$5="A",MAX(0,M9-Inputs_Actuals!N222)+MAX(0,M10-Inputs_Actuals!N223)+MAX(0,M11-Inputs_Actuals!N224)+MAX(0,M12-Inputs_Actuals!N225)+MAX(0,M13-Inputs_Actuals!N226)+MAX(0,M14-Inputs_Actuals!N227)+MAX(0,M15-Inputs_Actuals!N228)+MAX(0,M16-Inputs_Actuals!N229)+MAX(0,M17-Inputs_Actuals!N230)+MAX(0,M18-Inputs_Actuals!N231)+MAX(0,M19-Inputs_Actuals!N232)+MAX(0,M20-Inputs_Actuals!N233)+MAX(0,M21-Inputs_Actuals!N234)+MAX(0,M22-Inputs_Actuals!N235)+MAX(0,M23-Inputs_Actuals!N236)+MAX(0,M24-Inputs_Actuals!N237)+MAX(0,M25-Inputs_Actuals!N238),N30+N31+N32+N33+N34+N35+N36+N37+N38+N39+N40+N41+N42+N43+N44+N45+N46)</f>
        <v>0.688303472222222</v>
      </c>
      <c r="O49" s="75" t="n">
        <f aca="false">IF(O$5="A",MAX(0,N9-Inputs_Actuals!O222)+MAX(0,N10-Inputs_Actuals!O223)+MAX(0,N11-Inputs_Actuals!O224)+MAX(0,N12-Inputs_Actuals!O225)+MAX(0,N13-Inputs_Actuals!O226)+MAX(0,N14-Inputs_Actuals!O227)+MAX(0,N15-Inputs_Actuals!O228)+MAX(0,N16-Inputs_Actuals!O229)+MAX(0,N17-Inputs_Actuals!O230)+MAX(0,N18-Inputs_Actuals!O231)+MAX(0,N19-Inputs_Actuals!O232)+MAX(0,N20-Inputs_Actuals!O233)+MAX(0,N21-Inputs_Actuals!O234)+MAX(0,N22-Inputs_Actuals!O235)+MAX(0,N23-Inputs_Actuals!O236)+MAX(0,N24-Inputs_Actuals!O237)+MAX(0,N25-Inputs_Actuals!O238),O30+O31+O32+O33+O34+O35+O36+O37+O38+O39+O40+O41+O42+O43+O44+O45+O46)</f>
        <v>0.715857861689815</v>
      </c>
      <c r="P49" s="75" t="n">
        <f aca="false">IF(P$5="A",MAX(0,O9-Inputs_Actuals!P222)+MAX(0,O10-Inputs_Actuals!P223)+MAX(0,O11-Inputs_Actuals!P224)+MAX(0,O12-Inputs_Actuals!P225)+MAX(0,O13-Inputs_Actuals!P226)+MAX(0,O14-Inputs_Actuals!P227)+MAX(0,O15-Inputs_Actuals!P228)+MAX(0,O16-Inputs_Actuals!P229)+MAX(0,O17-Inputs_Actuals!P230)+MAX(0,O18-Inputs_Actuals!P231)+MAX(0,O19-Inputs_Actuals!P232)+MAX(0,O20-Inputs_Actuals!P233)+MAX(0,O21-Inputs_Actuals!P234)+MAX(0,O22-Inputs_Actuals!P235)+MAX(0,O23-Inputs_Actuals!P236)+MAX(0,O24-Inputs_Actuals!P237)+MAX(0,O25-Inputs_Actuals!P238),P30+P31+P32+P33+P34+P35+P36+P37+P38+P39+P40+P41+P42+P43+P44+P45+P46)</f>
        <v>0.738950401107736</v>
      </c>
      <c r="Q49" s="75" t="n">
        <f aca="false">IF(Q$5="A",MAX(0,P9-Inputs_Actuals!Q222)+MAX(0,P10-Inputs_Actuals!Q223)+MAX(0,P11-Inputs_Actuals!Q224)+MAX(0,P12-Inputs_Actuals!Q225)+MAX(0,P13-Inputs_Actuals!Q226)+MAX(0,P14-Inputs_Actuals!Q227)+MAX(0,P15-Inputs_Actuals!Q228)+MAX(0,P16-Inputs_Actuals!Q229)+MAX(0,P17-Inputs_Actuals!Q230)+MAX(0,P18-Inputs_Actuals!Q231)+MAX(0,P19-Inputs_Actuals!Q232)+MAX(0,P20-Inputs_Actuals!Q233)+MAX(0,P21-Inputs_Actuals!Q234)+MAX(0,P22-Inputs_Actuals!Q235)+MAX(0,P23-Inputs_Actuals!Q236)+MAX(0,P24-Inputs_Actuals!Q237)+MAX(0,P25-Inputs_Actuals!Q238),Q30+Q31+Q32+Q33+Q34+Q35+Q36+Q37+Q38+Q39+Q40+Q41+Q42+Q43+Q44+Q45+Q46)</f>
        <v>0.738355985917545</v>
      </c>
      <c r="R49" s="75" t="n">
        <f aca="false">IF(R$5="A",MAX(0,Q9-Inputs_Actuals!R222)+MAX(0,Q10-Inputs_Actuals!R223)+MAX(0,Q11-Inputs_Actuals!R224)+MAX(0,Q12-Inputs_Actuals!R225)+MAX(0,Q13-Inputs_Actuals!R226)+MAX(0,Q14-Inputs_Actuals!R227)+MAX(0,Q15-Inputs_Actuals!R228)+MAX(0,Q16-Inputs_Actuals!R229)+MAX(0,Q17-Inputs_Actuals!R230)+MAX(0,Q18-Inputs_Actuals!R231)+MAX(0,Q19-Inputs_Actuals!R232)+MAX(0,Q20-Inputs_Actuals!R233)+MAX(0,Q21-Inputs_Actuals!R234)+MAX(0,Q22-Inputs_Actuals!R235)+MAX(0,Q23-Inputs_Actuals!R236)+MAX(0,Q24-Inputs_Actuals!R237)+MAX(0,Q25-Inputs_Actuals!R238),R30+R31+R32+R33+R34+R35+R36+R37+R38+R39+R40+R41+R42+R43+R44+R45+R46)</f>
        <v>0.78226023760392</v>
      </c>
      <c r="S49" s="75" t="n">
        <f aca="false">IF(S$5="A",MAX(0,R9-Inputs_Actuals!S222)+MAX(0,R10-Inputs_Actuals!S223)+MAX(0,R11-Inputs_Actuals!S224)+MAX(0,R12-Inputs_Actuals!S225)+MAX(0,R13-Inputs_Actuals!S226)+MAX(0,R14-Inputs_Actuals!S227)+MAX(0,R15-Inputs_Actuals!S228)+MAX(0,R16-Inputs_Actuals!S229)+MAX(0,R17-Inputs_Actuals!S230)+MAX(0,R18-Inputs_Actuals!S231)+MAX(0,R19-Inputs_Actuals!S232)+MAX(0,R20-Inputs_Actuals!S233)+MAX(0,R21-Inputs_Actuals!S234)+MAX(0,R22-Inputs_Actuals!S235)+MAX(0,R23-Inputs_Actuals!S236)+MAX(0,R24-Inputs_Actuals!S237)+MAX(0,R25-Inputs_Actuals!S238),S30+S31+S32+S33+S34+S35+S36+S37+S38+S39+S40+S41+S42+S43+S44+S45+S46)</f>
        <v>0.781772337849559</v>
      </c>
      <c r="T49" s="75" t="n">
        <f aca="false">IF(T$5="A",MAX(0,S9-Inputs_Actuals!T222)+MAX(0,S10-Inputs_Actuals!T223)+MAX(0,S11-Inputs_Actuals!T224)+MAX(0,S12-Inputs_Actuals!T225)+MAX(0,S13-Inputs_Actuals!T226)+MAX(0,S14-Inputs_Actuals!T227)+MAX(0,S15-Inputs_Actuals!T228)+MAX(0,S16-Inputs_Actuals!T229)+MAX(0,S17-Inputs_Actuals!T230)+MAX(0,S18-Inputs_Actuals!T231)+MAX(0,S19-Inputs_Actuals!T232)+MAX(0,S20-Inputs_Actuals!T233)+MAX(0,S21-Inputs_Actuals!T234)+MAX(0,S22-Inputs_Actuals!T235)+MAX(0,S23-Inputs_Actuals!T236)+MAX(0,S24-Inputs_Actuals!T237)+MAX(0,S25-Inputs_Actuals!T238),T30+T31+T32+T33+T34+T35+T36+T37+T38+T39+T40+T41+T42+T43+T44+T45+T46)</f>
        <v>0.792949739833599</v>
      </c>
      <c r="U49" s="75" t="n">
        <f aca="false">IF(U$5="A",MAX(0,T9-Inputs_Actuals!U222)+MAX(0,T10-Inputs_Actuals!U223)+MAX(0,T11-Inputs_Actuals!U224)+MAX(0,T12-Inputs_Actuals!U225)+MAX(0,T13-Inputs_Actuals!U226)+MAX(0,T14-Inputs_Actuals!U227)+MAX(0,T15-Inputs_Actuals!U228)+MAX(0,T16-Inputs_Actuals!U229)+MAX(0,T17-Inputs_Actuals!U230)+MAX(0,T18-Inputs_Actuals!U231)+MAX(0,T19-Inputs_Actuals!U232)+MAX(0,T20-Inputs_Actuals!U233)+MAX(0,T21-Inputs_Actuals!U234)+MAX(0,T22-Inputs_Actuals!U235)+MAX(0,T23-Inputs_Actuals!U236)+MAX(0,T24-Inputs_Actuals!U237)+MAX(0,T25-Inputs_Actuals!U238),U30+U31+U32+U33+U34+U35+U36+U37+U38+U39+U40+U41+U42+U43+U44+U45+U46)</f>
        <v>0.804491493293559</v>
      </c>
      <c r="V49" s="75" t="n">
        <f aca="false">IF(V$5="A",MAX(0,U9-Inputs_Actuals!V222)+MAX(0,U10-Inputs_Actuals!V223)+MAX(0,U11-Inputs_Actuals!V224)+MAX(0,U12-Inputs_Actuals!V225)+MAX(0,U13-Inputs_Actuals!V226)+MAX(0,U14-Inputs_Actuals!V227)+MAX(0,U15-Inputs_Actuals!V228)+MAX(0,U16-Inputs_Actuals!V229)+MAX(0,U17-Inputs_Actuals!V230)+MAX(0,U18-Inputs_Actuals!V231)+MAX(0,U19-Inputs_Actuals!V232)+MAX(0,U20-Inputs_Actuals!V233)+MAX(0,U21-Inputs_Actuals!V234)+MAX(0,U22-Inputs_Actuals!V235)+MAX(0,U23-Inputs_Actuals!V236)+MAX(0,U24-Inputs_Actuals!V237)+MAX(0,U25-Inputs_Actuals!V238),V30+V31+V32+V33+V34+V35+V36+V37+V38+V39+V40+V41+V42+V43+V44+V45+V46)</f>
        <v>0.804226336116269</v>
      </c>
      <c r="W49" s="75" t="n">
        <f aca="false">IF(W$5="A",MAX(0,V9-Inputs_Actuals!W222)+MAX(0,V10-Inputs_Actuals!W223)+MAX(0,V11-Inputs_Actuals!W224)+MAX(0,V12-Inputs_Actuals!W225)+MAX(0,V13-Inputs_Actuals!W226)+MAX(0,V14-Inputs_Actuals!W227)+MAX(0,V15-Inputs_Actuals!W228)+MAX(0,V16-Inputs_Actuals!W229)+MAX(0,V17-Inputs_Actuals!W230)+MAX(0,V18-Inputs_Actuals!W231)+MAX(0,V19-Inputs_Actuals!W232)+MAX(0,V20-Inputs_Actuals!W233)+MAX(0,V21-Inputs_Actuals!W234)+MAX(0,V22-Inputs_Actuals!W235)+MAX(0,V23-Inputs_Actuals!W236)+MAX(0,V24-Inputs_Actuals!W237)+MAX(0,V25-Inputs_Actuals!W238),W30+W31+W32+W33+W34+W35+W36+W37+W38+W39+W40+W41+W42+W43+W44+W45+W46)</f>
        <v>0.815761443414401</v>
      </c>
      <c r="X49" s="75" t="n">
        <f aca="false">IF(X$5="A",MAX(0,W9-Inputs_Actuals!X222)+MAX(0,W10-Inputs_Actuals!X223)+MAX(0,W11-Inputs_Actuals!X224)+MAX(0,W12-Inputs_Actuals!X225)+MAX(0,W13-Inputs_Actuals!X226)+MAX(0,W14-Inputs_Actuals!X227)+MAX(0,W15-Inputs_Actuals!X228)+MAX(0,W16-Inputs_Actuals!X229)+MAX(0,W17-Inputs_Actuals!X230)+MAX(0,W18-Inputs_Actuals!X231)+MAX(0,W19-Inputs_Actuals!X232)+MAX(0,W20-Inputs_Actuals!X233)+MAX(0,W21-Inputs_Actuals!X234)+MAX(0,W22-Inputs_Actuals!X235)+MAX(0,W23-Inputs_Actuals!X236)+MAX(0,W24-Inputs_Actuals!X237)+MAX(0,W25-Inputs_Actuals!X238),X30+X31+X32+X33+X34+X35+X36+X37+X38+X39+X40+X41+X42+X43+X44+X45+X46)</f>
        <v>0.815629960989455</v>
      </c>
      <c r="Y49" s="75" t="n">
        <f aca="false">IF(Y$5="A",MAX(0,X9-Inputs_Actuals!Y222)+MAX(0,X10-Inputs_Actuals!Y223)+MAX(0,X11-Inputs_Actuals!Y224)+MAX(0,X12-Inputs_Actuals!Y225)+MAX(0,X13-Inputs_Actuals!Y226)+MAX(0,X14-Inputs_Actuals!Y227)+MAX(0,X15-Inputs_Actuals!Y228)+MAX(0,X16-Inputs_Actuals!Y229)+MAX(0,X17-Inputs_Actuals!Y230)+MAX(0,X18-Inputs_Actuals!Y231)+MAX(0,X19-Inputs_Actuals!Y232)+MAX(0,X20-Inputs_Actuals!Y233)+MAX(0,X21-Inputs_Actuals!Y234)+MAX(0,X22-Inputs_Actuals!Y235)+MAX(0,X23-Inputs_Actuals!Y236)+MAX(0,X24-Inputs_Actuals!Y237)+MAX(0,X25-Inputs_Actuals!Y238),Y30+Y31+Y32+Y33+Y34+Y35+Y36+Y37+Y38+Y39+Y40+Y41+Y42+Y43+Y44+Y45+Y46)</f>
        <v>0.81549691871516</v>
      </c>
      <c r="Z49" s="75" t="n">
        <f aca="false">IF(Z$5="A",MAX(0,Y9-Inputs_Actuals!Z222)+MAX(0,Y10-Inputs_Actuals!Z223)+MAX(0,Y11-Inputs_Actuals!Z224)+MAX(0,Y12-Inputs_Actuals!Z225)+MAX(0,Y13-Inputs_Actuals!Z226)+MAX(0,Y14-Inputs_Actuals!Z227)+MAX(0,Y15-Inputs_Actuals!Z228)+MAX(0,Y16-Inputs_Actuals!Z229)+MAX(0,Y17-Inputs_Actuals!Z230)+MAX(0,Y18-Inputs_Actuals!Z231)+MAX(0,Y19-Inputs_Actuals!Z232)+MAX(0,Y20-Inputs_Actuals!Z233)+MAX(0,Y21-Inputs_Actuals!Z234)+MAX(0,Y22-Inputs_Actuals!Z235)+MAX(0,Y23-Inputs_Actuals!Z236)+MAX(0,Y24-Inputs_Actuals!Z237)+MAX(0,Y25-Inputs_Actuals!Z238),Z30+Z31+Z32+Z33+Z34+Z35+Z36+Z37+Z38+Z39+Z40+Z41+Z42+Z43+Z44+Z45+Z46)</f>
        <v>0.815500004839747</v>
      </c>
      <c r="AA49" s="75" t="n">
        <f aca="false">IF(AA$5="A",MAX(0,Z9-Inputs_Actuals!AA222)+MAX(0,Z10-Inputs_Actuals!AA223)+MAX(0,Z11-Inputs_Actuals!AA224)+MAX(0,Z12-Inputs_Actuals!AA225)+MAX(0,Z13-Inputs_Actuals!AA226)+MAX(0,Z14-Inputs_Actuals!AA227)+MAX(0,Z15-Inputs_Actuals!AA228)+MAX(0,Z16-Inputs_Actuals!AA229)+MAX(0,Z17-Inputs_Actuals!AA230)+MAX(0,Z18-Inputs_Actuals!AA231)+MAX(0,Z19-Inputs_Actuals!AA232)+MAX(0,Z20-Inputs_Actuals!AA233)+MAX(0,Z21-Inputs_Actuals!AA234)+MAX(0,Z22-Inputs_Actuals!AA235)+MAX(0,Z23-Inputs_Actuals!AA236)+MAX(0,Z24-Inputs_Actuals!AA237)+MAX(0,Z25-Inputs_Actuals!AA238),AA30+AA31+AA32+AA33+AA34+AA35+AA36+AA37+AA38+AA39+AA40+AA41+AA42+AA43+AA44+AA45+AA46)</f>
        <v>0.815501520994266</v>
      </c>
      <c r="AB49" s="75" t="n">
        <f aca="false">IF(AB$5="A",MAX(0,AA9-Inputs_Actuals!AB222)+MAX(0,AA10-Inputs_Actuals!AB223)+MAX(0,AA11-Inputs_Actuals!AB224)+MAX(0,AA12-Inputs_Actuals!AB225)+MAX(0,AA13-Inputs_Actuals!AB226)+MAX(0,AA14-Inputs_Actuals!AB227)+MAX(0,AA15-Inputs_Actuals!AB228)+MAX(0,AA16-Inputs_Actuals!AB229)+MAX(0,AA17-Inputs_Actuals!AB230)+MAX(0,AA18-Inputs_Actuals!AB231)+MAX(0,AA19-Inputs_Actuals!AB232)+MAX(0,AA20-Inputs_Actuals!AB233)+MAX(0,AA21-Inputs_Actuals!AB234)+MAX(0,AA22-Inputs_Actuals!AB235)+MAX(0,AA23-Inputs_Actuals!AB236)+MAX(0,AA24-Inputs_Actuals!AB237)+MAX(0,AA25-Inputs_Actuals!AB238),AB30+AB31+AB32+AB33+AB34+AB35+AB36+AB37+AB38+AB39+AB40+AB41+AB42+AB43+AB44+AB45+AB46)</f>
        <v>0.815501467300919</v>
      </c>
    </row>
    <row r="50" customFormat="false" ht="15" hidden="false" customHeight="false" outlineLevel="0" collapsed="false">
      <c r="A50" s="21" t="s">
        <v>1119</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row>
    <row r="51" customFormat="false" ht="15" hidden="false" customHeight="false" outlineLevel="0" collapsed="false">
      <c r="A51" s="27" t="s">
        <v>1120</v>
      </c>
      <c r="B51" s="63" t="s">
        <v>1121</v>
      </c>
      <c r="C51" s="66" t="n">
        <f aca="false">SUM(E51:P51)</f>
        <v>184687.026427898</v>
      </c>
      <c r="D51" s="66" t="n">
        <f aca="false">SUM(Q51:AB51)</f>
        <v>244061.012420131</v>
      </c>
      <c r="E51" s="67" t="n">
        <f aca="false">E9*(Assumptions!$D$61*IF(Assumptions!E$203=2027,1+Assumptions!$F$191,1))</f>
        <v>14400</v>
      </c>
      <c r="F51" s="67" t="n">
        <f aca="false">F9*(Assumptions!$D$61*IF(Assumptions!F$203=2027,1+Assumptions!$F$191,1))</f>
        <v>14400</v>
      </c>
      <c r="G51" s="67" t="n">
        <f aca="false">G9*(Assumptions!$D$61*IF(Assumptions!G$203=2027,1+Assumptions!$F$191,1))</f>
        <v>14400</v>
      </c>
      <c r="H51" s="67" t="n">
        <f aca="false">H9*(Assumptions!$D$61*IF(Assumptions!H$203=2027,1+Assumptions!$F$191,1))</f>
        <v>14400</v>
      </c>
      <c r="I51" s="67" t="n">
        <f aca="false">I9*(Assumptions!$D$61*IF(Assumptions!I$203=2027,1+Assumptions!$F$191,1))</f>
        <v>14400</v>
      </c>
      <c r="J51" s="67" t="n">
        <f aca="false">J9*(Assumptions!$D$61*IF(Assumptions!J$203=2027,1+Assumptions!$F$191,1))</f>
        <v>14400</v>
      </c>
      <c r="K51" s="67" t="n">
        <f aca="false">K9*(Assumptions!$D$61*IF(Assumptions!K$203=2027,1+Assumptions!$F$191,1))</f>
        <v>15600</v>
      </c>
      <c r="L51" s="67" t="n">
        <f aca="false">L9*(Assumptions!$D$61*IF(Assumptions!L$203=2027,1+Assumptions!$F$191,1))</f>
        <v>15600</v>
      </c>
      <c r="M51" s="67" t="n">
        <f aca="false">M9*(Assumptions!$D$61*IF(Assumptions!M$203=2027,1+Assumptions!$F$191,1))</f>
        <v>15418</v>
      </c>
      <c r="N51" s="67" t="n">
        <f aca="false">N9*(Assumptions!$D$61*IF(Assumptions!N$203=2027,1+Assumptions!$F$191,1))</f>
        <v>16438.1233333333</v>
      </c>
      <c r="O51" s="67" t="n">
        <f aca="false">O9*(Assumptions!$D$61*IF(Assumptions!O$203=2027,1+Assumptions!$F$191,1))</f>
        <v>17628.3452277778</v>
      </c>
      <c r="P51" s="67" t="n">
        <f aca="false">P9*(Assumptions!$D$61*IF(Assumptions!P$203=2027,1+Assumptions!$F$191,1))</f>
        <v>17602.557866787</v>
      </c>
      <c r="Q51" s="67" t="n">
        <f aca="false">Q9*(Assumptions!$D$61*IF(Assumptions!Q$203=2027,1+Assumptions!$F$191,1))</f>
        <v>19352.641981147</v>
      </c>
      <c r="R51" s="67" t="n">
        <f aca="false">R9*(Assumptions!$D$61*IF(Assumptions!R$203=2027,1+Assumptions!$F$191,1))</f>
        <v>19338.6951065207</v>
      </c>
      <c r="S51" s="67" t="n">
        <f aca="false">S9*(Assumptions!$D$61*IF(Assumptions!S$203=2027,1+Assumptions!$F$191,1))</f>
        <v>20560.6010673106</v>
      </c>
      <c r="T51" s="67" t="n">
        <f aca="false">T9*(Assumptions!$D$61*IF(Assumptions!T$203=2027,1+Assumptions!$F$191,1))</f>
        <v>20546.5082113053</v>
      </c>
      <c r="U51" s="67" t="n">
        <f aca="false">U9*(Assumptions!$D$61*IF(Assumptions!U$203=2027,1+Assumptions!$F$191,1))</f>
        <v>20532.4170584162</v>
      </c>
      <c r="V51" s="67" t="n">
        <f aca="false">V9*(Assumptions!$D$61*IF(Assumptions!V$203=2027,1+Assumptions!$F$191,1))</f>
        <v>20532.7458718533</v>
      </c>
      <c r="W51" s="67" t="n">
        <f aca="false">W9*(Assumptions!$D$61*IF(Assumptions!W$203=2027,1+Assumptions!$F$191,1))</f>
        <v>20532.9064324802</v>
      </c>
      <c r="X51" s="67" t="n">
        <f aca="false">X9*(Assumptions!$D$61*IF(Assumptions!X$203=2027,1+Assumptions!$F$191,1))</f>
        <v>20532.9007231161</v>
      </c>
      <c r="Y51" s="67" t="n">
        <f aca="false">Y9*(Assumptions!$D$61*IF(Assumptions!Y$203=2027,1+Assumptions!$F$191,1))</f>
        <v>20532.8989165181</v>
      </c>
      <c r="Z51" s="67" t="n">
        <f aca="false">Z9*(Assumptions!$D$61*IF(Assumptions!Z$203=2027,1+Assumptions!$F$191,1))</f>
        <v>20532.8990042043</v>
      </c>
      <c r="AA51" s="67" t="n">
        <f aca="false">AA9*(Assumptions!$D$61*IF(Assumptions!AA$203=2027,1+Assumptions!$F$191,1))</f>
        <v>20532.8990242582</v>
      </c>
      <c r="AB51" s="67" t="n">
        <f aca="false">AB9*(Assumptions!$D$61*IF(Assumptions!AB$203=2027,1+Assumptions!$F$191,1))</f>
        <v>20532.8990230013</v>
      </c>
    </row>
    <row r="52" customFormat="false" ht="15" hidden="false" customHeight="false" outlineLevel="0" collapsed="false">
      <c r="A52" s="27" t="s">
        <v>1122</v>
      </c>
      <c r="B52" s="63" t="s">
        <v>1121</v>
      </c>
      <c r="C52" s="66" t="n">
        <f aca="false">SUM(E52:P52)</f>
        <v>218005.285132072</v>
      </c>
      <c r="D52" s="66" t="n">
        <f aca="false">SUM(Q52:AB52)</f>
        <v>250829.549053637</v>
      </c>
      <c r="E52" s="67" t="n">
        <f aca="false">E10*(Assumptions!$D$62*IF(Assumptions!E$203=2027,1+Assumptions!$F$191,1))</f>
        <v>19800</v>
      </c>
      <c r="F52" s="67" t="n">
        <f aca="false">F10*(Assumptions!$D$62*IF(Assumptions!F$203=2027,1+Assumptions!$F$191,1))</f>
        <v>19800</v>
      </c>
      <c r="G52" s="67" t="n">
        <f aca="false">G10*(Assumptions!$D$62*IF(Assumptions!G$203=2027,1+Assumptions!$F$191,1))</f>
        <v>19800</v>
      </c>
      <c r="H52" s="67" t="n">
        <f aca="false">H10*(Assumptions!$D$62*IF(Assumptions!H$203=2027,1+Assumptions!$F$191,1))</f>
        <v>18150</v>
      </c>
      <c r="I52" s="67" t="n">
        <f aca="false">I10*(Assumptions!$D$62*IF(Assumptions!I$203=2027,1+Assumptions!$F$191,1))</f>
        <v>16500</v>
      </c>
      <c r="J52" s="67" t="n">
        <f aca="false">J10*(Assumptions!$D$62*IF(Assumptions!J$203=2027,1+Assumptions!$F$191,1))</f>
        <v>16500</v>
      </c>
      <c r="K52" s="67" t="n">
        <f aca="false">K10*(Assumptions!$D$62*IF(Assumptions!K$203=2027,1+Assumptions!$F$191,1))</f>
        <v>16500</v>
      </c>
      <c r="L52" s="67" t="n">
        <f aca="false">L10*(Assumptions!$D$62*IF(Assumptions!L$203=2027,1+Assumptions!$F$191,1))</f>
        <v>16500</v>
      </c>
      <c r="M52" s="67" t="n">
        <f aca="false">M10*(Assumptions!$D$62*IF(Assumptions!M$203=2027,1+Assumptions!$F$191,1))</f>
        <v>16307.5</v>
      </c>
      <c r="N52" s="67" t="n">
        <f aca="false">N10*(Assumptions!$D$62*IF(Assumptions!N$203=2027,1+Assumptions!$F$191,1))</f>
        <v>19417.2458333333</v>
      </c>
      <c r="O52" s="67" t="n">
        <f aca="false">O10*(Assumptions!$D$62*IF(Assumptions!O$203=2027,1+Assumptions!$F$191,1))</f>
        <v>19383.2112986111</v>
      </c>
      <c r="P52" s="67" t="n">
        <f aca="false">P10*(Assumptions!$D$62*IF(Assumptions!P$203=2027,1+Assumptions!$F$191,1))</f>
        <v>19347.3280001273</v>
      </c>
      <c r="Q52" s="67" t="n">
        <f aca="false">Q10*(Assumptions!$D$62*IF(Assumptions!Q$203=2027,1+Assumptions!$F$191,1))</f>
        <v>19928.5880194268</v>
      </c>
      <c r="R52" s="67" t="n">
        <f aca="false">R10*(Assumptions!$D$62*IF(Assumptions!R$203=2027,1+Assumptions!$F$191,1))</f>
        <v>19929.0094149718</v>
      </c>
      <c r="S52" s="67" t="n">
        <f aca="false">S10*(Assumptions!$D$62*IF(Assumptions!S$203=2027,1+Assumptions!$F$191,1))</f>
        <v>19928.9946965987</v>
      </c>
      <c r="T52" s="67" t="n">
        <f aca="false">T10*(Assumptions!$D$62*IF(Assumptions!T$203=2027,1+Assumptions!$F$191,1))</f>
        <v>19928.9899520317</v>
      </c>
      <c r="U52" s="67" t="n">
        <f aca="false">U10*(Assumptions!$D$62*IF(Assumptions!U$203=2027,1+Assumptions!$F$191,1))</f>
        <v>19928.9901790993</v>
      </c>
      <c r="V52" s="67" t="n">
        <f aca="false">V10*(Assumptions!$D$62*IF(Assumptions!V$203=2027,1+Assumptions!$F$191,1))</f>
        <v>21628.4902318035</v>
      </c>
      <c r="W52" s="67" t="n">
        <f aca="false">W10*(Assumptions!$D$62*IF(Assumptions!W$203=2027,1+Assumptions!$F$191,1))</f>
        <v>21608.6627285395</v>
      </c>
      <c r="X52" s="67" t="n">
        <f aca="false">X10*(Assumptions!$D$62*IF(Assumptions!X$203=2027,1+Assumptions!$F$191,1))</f>
        <v>21589.066548796</v>
      </c>
      <c r="Y52" s="67" t="n">
        <f aca="false">Y10*(Assumptions!$D$62*IF(Assumptions!Y$203=2027,1+Assumptions!$F$191,1))</f>
        <v>21589.5264917644</v>
      </c>
      <c r="Z52" s="67" t="n">
        <f aca="false">Z10*(Assumptions!$D$62*IF(Assumptions!Z$203=2027,1+Assumptions!$F$191,1))</f>
        <v>21589.7497478601</v>
      </c>
      <c r="AA52" s="67" t="n">
        <f aca="false">AA10*(Assumptions!$D$62*IF(Assumptions!AA$203=2027,1+Assumptions!$F$191,1))</f>
        <v>21589.7417772044</v>
      </c>
      <c r="AB52" s="67" t="n">
        <f aca="false">AB10*(Assumptions!$D$62*IF(Assumptions!AB$203=2027,1+Assumptions!$F$191,1))</f>
        <v>21589.7392655409</v>
      </c>
    </row>
    <row r="53" customFormat="false" ht="15" hidden="false" customHeight="false" outlineLevel="0" collapsed="false">
      <c r="A53" s="27" t="s">
        <v>1123</v>
      </c>
      <c r="B53" s="63" t="s">
        <v>1121</v>
      </c>
      <c r="C53" s="66" t="n">
        <f aca="false">SUM(E53:P53)</f>
        <v>156475.701369304</v>
      </c>
      <c r="D53" s="66" t="n">
        <f aca="false">SUM(Q53:AB53)</f>
        <v>170301.052003669</v>
      </c>
      <c r="E53" s="67" t="n">
        <f aca="false">E11*(Assumptions!$D$63*IF(Assumptions!E$203=2027,1+Assumptions!$F$191,1))</f>
        <v>14100</v>
      </c>
      <c r="F53" s="67" t="n">
        <f aca="false">F11*(Assumptions!$D$63*IF(Assumptions!F$203=2027,1+Assumptions!$F$191,1))</f>
        <v>14100</v>
      </c>
      <c r="G53" s="67" t="n">
        <f aca="false">G11*(Assumptions!$D$63*IF(Assumptions!G$203=2027,1+Assumptions!$F$191,1))</f>
        <v>14100</v>
      </c>
      <c r="H53" s="67" t="n">
        <f aca="false">H11*(Assumptions!$D$63*IF(Assumptions!H$203=2027,1+Assumptions!$F$191,1))</f>
        <v>14100</v>
      </c>
      <c r="I53" s="67" t="n">
        <f aca="false">I11*(Assumptions!$D$63*IF(Assumptions!I$203=2027,1+Assumptions!$F$191,1))</f>
        <v>14100</v>
      </c>
      <c r="J53" s="67" t="n">
        <f aca="false">J11*(Assumptions!$D$63*IF(Assumptions!J$203=2027,1+Assumptions!$F$191,1))</f>
        <v>11750</v>
      </c>
      <c r="K53" s="67" t="n">
        <f aca="false">K11*(Assumptions!$D$63*IF(Assumptions!K$203=2027,1+Assumptions!$F$191,1))</f>
        <v>11750</v>
      </c>
      <c r="L53" s="67" t="n">
        <f aca="false">L11*(Assumptions!$D$63*IF(Assumptions!L$203=2027,1+Assumptions!$F$191,1))</f>
        <v>11750</v>
      </c>
      <c r="M53" s="67" t="n">
        <f aca="false">M11*(Assumptions!$D$63*IF(Assumptions!M$203=2027,1+Assumptions!$F$191,1))</f>
        <v>11612.9166666667</v>
      </c>
      <c r="N53" s="67" t="n">
        <f aca="false">N11*(Assumptions!$D$63*IF(Assumptions!N$203=2027,1+Assumptions!$F$191,1))</f>
        <v>11477.4326388889</v>
      </c>
      <c r="O53" s="67" t="n">
        <f aca="false">O11*(Assumptions!$D$63*IF(Assumptions!O$203=2027,1+Assumptions!$F$191,1))</f>
        <v>13830.6125914352</v>
      </c>
      <c r="P53" s="67" t="n">
        <f aca="false">P11*(Assumptions!$D$63*IF(Assumptions!P$203=2027,1+Assumptions!$F$191,1))</f>
        <v>13804.7394723129</v>
      </c>
      <c r="Q53" s="67" t="n">
        <f aca="false">Q11*(Assumptions!$D$63*IF(Assumptions!Q$203=2027,1+Assumptions!$F$191,1))</f>
        <v>14190.915186034</v>
      </c>
      <c r="R53" s="67" t="n">
        <f aca="false">R11*(Assumptions!$D$63*IF(Assumptions!R$203=2027,1+Assumptions!$F$191,1))</f>
        <v>14191.5523701706</v>
      </c>
      <c r="S53" s="67" t="n">
        <f aca="false">S11*(Assumptions!$D$63*IF(Assumptions!S$203=2027,1+Assumptions!$F$191,1))</f>
        <v>14191.8712118443</v>
      </c>
      <c r="T53" s="67" t="n">
        <f aca="false">T11*(Assumptions!$D$63*IF(Assumptions!T$203=2027,1+Assumptions!$F$191,1))</f>
        <v>14191.8600582098</v>
      </c>
      <c r="U53" s="67" t="n">
        <f aca="false">U11*(Assumptions!$D$63*IF(Assumptions!U$203=2027,1+Assumptions!$F$191,1))</f>
        <v>14191.856468516</v>
      </c>
      <c r="V53" s="67" t="n">
        <f aca="false">V11*(Assumptions!$D$63*IF(Assumptions!V$203=2027,1+Assumptions!$F$191,1))</f>
        <v>14191.8566405215</v>
      </c>
      <c r="W53" s="67" t="n">
        <f aca="false">W11*(Assumptions!$D$63*IF(Assumptions!W$203=2027,1+Assumptions!$F$191,1))</f>
        <v>14191.8566803946</v>
      </c>
      <c r="X53" s="67" t="n">
        <f aca="false">X11*(Assumptions!$D$63*IF(Assumptions!X$203=2027,1+Assumptions!$F$191,1))</f>
        <v>14191.8566779226</v>
      </c>
      <c r="Y53" s="67" t="n">
        <f aca="false">Y11*(Assumptions!$D$63*IF(Assumptions!Y$203=2027,1+Assumptions!$F$191,1))</f>
        <v>14191.8566774863</v>
      </c>
      <c r="Z53" s="67" t="n">
        <f aca="false">Z11*(Assumptions!$D$63*IF(Assumptions!Z$203=2027,1+Assumptions!$F$191,1))</f>
        <v>14191.8566775202</v>
      </c>
      <c r="AA53" s="67" t="n">
        <f aca="false">AA11*(Assumptions!$D$63*IF(Assumptions!AA$203=2027,1+Assumptions!$F$191,1))</f>
        <v>14191.8566775249</v>
      </c>
      <c r="AB53" s="67" t="n">
        <f aca="false">AB11*(Assumptions!$D$63*IF(Assumptions!AB$203=2027,1+Assumptions!$F$191,1))</f>
        <v>14191.8566775245</v>
      </c>
    </row>
    <row r="54" customFormat="false" ht="15" hidden="false" customHeight="false" outlineLevel="0" collapsed="false">
      <c r="A54" s="27" t="s">
        <v>1124</v>
      </c>
      <c r="B54" s="63" t="s">
        <v>1121</v>
      </c>
      <c r="C54" s="66" t="n">
        <f aca="false">SUM(E54:P54)</f>
        <v>89071.4315472824</v>
      </c>
      <c r="D54" s="66" t="n">
        <f aca="false">SUM(Q54:AB54)</f>
        <v>106030.756045419</v>
      </c>
      <c r="E54" s="67" t="n">
        <f aca="false">E12*(Assumptions!$D$64*IF(Assumptions!E$203=2027,1+Assumptions!$F$191,1))</f>
        <v>7800</v>
      </c>
      <c r="F54" s="67" t="n">
        <f aca="false">F12*(Assumptions!$D$64*IF(Assumptions!F$203=2027,1+Assumptions!$F$191,1))</f>
        <v>7800</v>
      </c>
      <c r="G54" s="67" t="n">
        <f aca="false">G12*(Assumptions!$D$64*IF(Assumptions!G$203=2027,1+Assumptions!$F$191,1))</f>
        <v>6500</v>
      </c>
      <c r="H54" s="67" t="n">
        <f aca="false">H12*(Assumptions!$D$64*IF(Assumptions!H$203=2027,1+Assumptions!$F$191,1))</f>
        <v>6500</v>
      </c>
      <c r="I54" s="67" t="n">
        <f aca="false">I12*(Assumptions!$D$64*IF(Assumptions!I$203=2027,1+Assumptions!$F$191,1))</f>
        <v>6500</v>
      </c>
      <c r="J54" s="67" t="n">
        <f aca="false">J12*(Assumptions!$D$64*IF(Assumptions!J$203=2027,1+Assumptions!$F$191,1))</f>
        <v>7800</v>
      </c>
      <c r="K54" s="67" t="n">
        <f aca="false">K12*(Assumptions!$D$64*IF(Assumptions!K$203=2027,1+Assumptions!$F$191,1))</f>
        <v>7800</v>
      </c>
      <c r="L54" s="67" t="n">
        <f aca="false">L12*(Assumptions!$D$64*IF(Assumptions!L$203=2027,1+Assumptions!$F$191,1))</f>
        <v>7800</v>
      </c>
      <c r="M54" s="67" t="n">
        <f aca="false">M12*(Assumptions!$D$64*IF(Assumptions!M$203=2027,1+Assumptions!$F$191,1))</f>
        <v>7709</v>
      </c>
      <c r="N54" s="67" t="n">
        <f aca="false">N12*(Assumptions!$D$64*IF(Assumptions!N$203=2027,1+Assumptions!$F$191,1))</f>
        <v>7619.06166666667</v>
      </c>
      <c r="O54" s="67" t="n">
        <f aca="false">O12*(Assumptions!$D$64*IF(Assumptions!O$203=2027,1+Assumptions!$F$191,1))</f>
        <v>7621.17261388889</v>
      </c>
      <c r="P54" s="67" t="n">
        <f aca="false">P12*(Assumptions!$D$64*IF(Assumptions!P$203=2027,1+Assumptions!$F$191,1))</f>
        <v>7622.19726672685</v>
      </c>
      <c r="Q54" s="67" t="n">
        <f aca="false">Q12*(Assumptions!$D$64*IF(Assumptions!Q$203=2027,1+Assumptions!$F$191,1))</f>
        <v>7850.82550526793</v>
      </c>
      <c r="R54" s="67" t="n">
        <f aca="false">R12*(Assumptions!$D$64*IF(Assumptions!R$203=2027,1+Assumptions!$F$191,1))</f>
        <v>7850.81363195004</v>
      </c>
      <c r="S54" s="67" t="n">
        <f aca="false">S12*(Assumptions!$D$64*IF(Assumptions!S$203=2027,1+Assumptions!$F$191,1))</f>
        <v>7850.81421006579</v>
      </c>
      <c r="T54" s="67" t="n">
        <f aca="false">T12*(Assumptions!$D$64*IF(Assumptions!T$203=2027,1+Assumptions!$F$191,1))</f>
        <v>9189.81434184315</v>
      </c>
      <c r="U54" s="67" t="n">
        <f aca="false">U12*(Assumptions!$D$64*IF(Assumptions!U$203=2027,1+Assumptions!$F$191,1))</f>
        <v>9174.19266689439</v>
      </c>
      <c r="V54" s="67" t="n">
        <f aca="false">V12*(Assumptions!$D$64*IF(Assumptions!V$203=2027,1+Assumptions!$F$191,1))</f>
        <v>9158.75325156473</v>
      </c>
      <c r="W54" s="67" t="n">
        <f aca="false">W12*(Assumptions!$D$64*IF(Assumptions!W$203=2027,1+Assumptions!$F$191,1))</f>
        <v>9159.11563095131</v>
      </c>
      <c r="X54" s="67" t="n">
        <f aca="false">X12*(Assumptions!$D$64*IF(Assumptions!X$203=2027,1+Assumptions!$F$191,1))</f>
        <v>9159.29152970398</v>
      </c>
      <c r="Y54" s="67" t="n">
        <f aca="false">Y12*(Assumptions!$D$64*IF(Assumptions!Y$203=2027,1+Assumptions!$F$191,1))</f>
        <v>9159.28524979235</v>
      </c>
      <c r="Z54" s="67" t="n">
        <f aca="false">Z12*(Assumptions!$D$64*IF(Assumptions!Z$203=2027,1+Assumptions!$F$191,1))</f>
        <v>9159.28327090588</v>
      </c>
      <c r="AA54" s="67" t="n">
        <f aca="false">AA12*(Assumptions!$D$64*IF(Assumptions!AA$203=2027,1+Assumptions!$F$191,1))</f>
        <v>9159.28336725852</v>
      </c>
      <c r="AB54" s="67" t="n">
        <f aca="false">AB12*(Assumptions!$D$64*IF(Assumptions!AB$203=2027,1+Assumptions!$F$191,1))</f>
        <v>9159.28338922142</v>
      </c>
    </row>
    <row r="55" customFormat="false" ht="15" hidden="false" customHeight="false" outlineLevel="0" collapsed="false">
      <c r="A55" s="27" t="s">
        <v>1125</v>
      </c>
      <c r="B55" s="63" t="s">
        <v>1121</v>
      </c>
      <c r="C55" s="66" t="n">
        <f aca="false">SUM(E55:P55)</f>
        <v>62576.9250799016</v>
      </c>
      <c r="D55" s="66" t="n">
        <f aca="false">SUM(Q55:AB55)</f>
        <v>84607.4815890741</v>
      </c>
      <c r="E55" s="67" t="n">
        <f aca="false">E13*(Assumptions!$D$65*IF(Assumptions!E$203=2027,1+Assumptions!$F$191,1))</f>
        <v>5250</v>
      </c>
      <c r="F55" s="67" t="n">
        <f aca="false">F13*(Assumptions!$D$65*IF(Assumptions!F$203=2027,1+Assumptions!$F$191,1))</f>
        <v>5250</v>
      </c>
      <c r="G55" s="67" t="n">
        <f aca="false">G13*(Assumptions!$D$65*IF(Assumptions!G$203=2027,1+Assumptions!$F$191,1))</f>
        <v>5250</v>
      </c>
      <c r="H55" s="67" t="n">
        <f aca="false">H13*(Assumptions!$D$65*IF(Assumptions!H$203=2027,1+Assumptions!$F$191,1))</f>
        <v>5250</v>
      </c>
      <c r="I55" s="67" t="n">
        <f aca="false">I13*(Assumptions!$D$65*IF(Assumptions!I$203=2027,1+Assumptions!$F$191,1))</f>
        <v>5250</v>
      </c>
      <c r="J55" s="67" t="n">
        <f aca="false">J13*(Assumptions!$D$65*IF(Assumptions!J$203=2027,1+Assumptions!$F$191,1))</f>
        <v>5250</v>
      </c>
      <c r="K55" s="67" t="n">
        <f aca="false">K13*(Assumptions!$D$65*IF(Assumptions!K$203=2027,1+Assumptions!$F$191,1))</f>
        <v>5250</v>
      </c>
      <c r="L55" s="67" t="n">
        <f aca="false">L13*(Assumptions!$D$65*IF(Assumptions!L$203=2027,1+Assumptions!$F$191,1))</f>
        <v>5250</v>
      </c>
      <c r="M55" s="67" t="n">
        <f aca="false">M13*(Assumptions!$D$65*IF(Assumptions!M$203=2027,1+Assumptions!$F$191,1))</f>
        <v>5188.75</v>
      </c>
      <c r="N55" s="67" t="n">
        <f aca="false">N13*(Assumptions!$D$65*IF(Assumptions!N$203=2027,1+Assumptions!$F$191,1))</f>
        <v>5128.21458333333</v>
      </c>
      <c r="O55" s="67" t="n">
        <f aca="false">O13*(Assumptions!$D$65*IF(Assumptions!O$203=2027,1+Assumptions!$F$191,1))</f>
        <v>5129.63541319444</v>
      </c>
      <c r="P55" s="67" t="n">
        <f aca="false">P13*(Assumptions!$D$65*IF(Assumptions!P$203=2027,1+Assumptions!$F$191,1))</f>
        <v>5130.32508337384</v>
      </c>
      <c r="Q55" s="67" t="n">
        <f aca="false">Q13*(Assumptions!$D$65*IF(Assumptions!Q$203=2027,1+Assumptions!$F$191,1))</f>
        <v>7086.70947469957</v>
      </c>
      <c r="R55" s="67" t="n">
        <f aca="false">R13*(Assumptions!$D$65*IF(Assumptions!R$203=2027,1+Assumptions!$F$191,1))</f>
        <v>7065.67231637663</v>
      </c>
      <c r="S55" s="67" t="n">
        <f aca="false">S13*(Assumptions!$D$65*IF(Assumptions!S$203=2027,1+Assumptions!$F$191,1))</f>
        <v>7044.88887910411</v>
      </c>
      <c r="T55" s="67" t="n">
        <f aca="false">T13*(Assumptions!$D$65*IF(Assumptions!T$203=2027,1+Assumptions!$F$191,1))</f>
        <v>7045.37678605272</v>
      </c>
      <c r="U55" s="67" t="n">
        <f aca="false">U13*(Assumptions!$D$65*IF(Assumptions!U$203=2027,1+Assumptions!$F$191,1))</f>
        <v>7045.61356723984</v>
      </c>
      <c r="V55" s="67" t="n">
        <f aca="false">V13*(Assumptions!$D$65*IF(Assumptions!V$203=2027,1+Assumptions!$F$191,1))</f>
        <v>7045.60511254492</v>
      </c>
      <c r="W55" s="67" t="n">
        <f aca="false">W13*(Assumptions!$D$65*IF(Assumptions!W$203=2027,1+Assumptions!$F$191,1))</f>
        <v>7045.60244873584</v>
      </c>
      <c r="X55" s="67" t="n">
        <f aca="false">X13*(Assumptions!$D$65*IF(Assumptions!X$203=2027,1+Assumptions!$F$191,1))</f>
        <v>7045.60257845172</v>
      </c>
      <c r="Y55" s="67" t="n">
        <f aca="false">Y13*(Assumptions!$D$65*IF(Assumptions!Y$203=2027,1+Assumptions!$F$191,1))</f>
        <v>7045.60260801615</v>
      </c>
      <c r="Z55" s="67" t="n">
        <f aca="false">Z13*(Assumptions!$D$65*IF(Assumptions!Z$203=2027,1+Assumptions!$F$191,1))</f>
        <v>7045.60260615788</v>
      </c>
      <c r="AA55" s="67" t="n">
        <f aca="false">AA13*(Assumptions!$D$65*IF(Assumptions!AA$203=2027,1+Assumptions!$F$191,1))</f>
        <v>7045.60260583464</v>
      </c>
      <c r="AB55" s="67" t="n">
        <f aca="false">AB13*(Assumptions!$D$65*IF(Assumptions!AB$203=2027,1+Assumptions!$F$191,1))</f>
        <v>7045.60260586009</v>
      </c>
    </row>
    <row r="56" customFormat="false" ht="15" hidden="false" customHeight="false" outlineLevel="0" collapsed="false">
      <c r="A56" s="27" t="s">
        <v>1126</v>
      </c>
      <c r="B56" s="63" t="s">
        <v>1121</v>
      </c>
      <c r="C56" s="66" t="n">
        <f aca="false">SUM(E56:P56)</f>
        <v>63172.8957949483</v>
      </c>
      <c r="D56" s="66" t="n">
        <f aca="false">SUM(Q56:AB56)</f>
        <v>64014.3392879349</v>
      </c>
      <c r="E56" s="67" t="n">
        <f aca="false">E14*(Assumptions!$D$66*IF(Assumptions!E$203=2027,1+Assumptions!$F$191,1))</f>
        <v>5300</v>
      </c>
      <c r="F56" s="67" t="n">
        <f aca="false">F14*(Assumptions!$D$66*IF(Assumptions!F$203=2027,1+Assumptions!$F$191,1))</f>
        <v>5300</v>
      </c>
      <c r="G56" s="67" t="n">
        <f aca="false">G14*(Assumptions!$D$66*IF(Assumptions!G$203=2027,1+Assumptions!$F$191,1))</f>
        <v>5300</v>
      </c>
      <c r="H56" s="67" t="n">
        <f aca="false">H14*(Assumptions!$D$66*IF(Assumptions!H$203=2027,1+Assumptions!$F$191,1))</f>
        <v>5300</v>
      </c>
      <c r="I56" s="67" t="n">
        <f aca="false">I14*(Assumptions!$D$66*IF(Assumptions!I$203=2027,1+Assumptions!$F$191,1))</f>
        <v>5300</v>
      </c>
      <c r="J56" s="67" t="n">
        <f aca="false">J14*(Assumptions!$D$66*IF(Assumptions!J$203=2027,1+Assumptions!$F$191,1))</f>
        <v>5300</v>
      </c>
      <c r="K56" s="67" t="n">
        <f aca="false">K14*(Assumptions!$D$66*IF(Assumptions!K$203=2027,1+Assumptions!$F$191,1))</f>
        <v>5300</v>
      </c>
      <c r="L56" s="67" t="n">
        <f aca="false">L14*(Assumptions!$D$66*IF(Assumptions!L$203=2027,1+Assumptions!$F$191,1))</f>
        <v>5300</v>
      </c>
      <c r="M56" s="67" t="n">
        <f aca="false">M14*(Assumptions!$D$66*IF(Assumptions!M$203=2027,1+Assumptions!$F$191,1))</f>
        <v>5238.16666666667</v>
      </c>
      <c r="N56" s="67" t="n">
        <f aca="false">N14*(Assumptions!$D$66*IF(Assumptions!N$203=2027,1+Assumptions!$F$191,1))</f>
        <v>5177.05472222222</v>
      </c>
      <c r="O56" s="67" t="n">
        <f aca="false">O14*(Assumptions!$D$66*IF(Assumptions!O$203=2027,1+Assumptions!$F$191,1))</f>
        <v>5178.4890837963</v>
      </c>
      <c r="P56" s="67" t="n">
        <f aca="false">P14*(Assumptions!$D$66*IF(Assumptions!P$203=2027,1+Assumptions!$F$191,1))</f>
        <v>5179.18532226312</v>
      </c>
      <c r="Q56" s="67" t="n">
        <f aca="false">Q14*(Assumptions!$D$66*IF(Assumptions!Q$203=2027,1+Assumptions!$F$191,1))</f>
        <v>5334.53527922052</v>
      </c>
      <c r="R56" s="67" t="n">
        <f aca="false">R14*(Assumptions!$D$66*IF(Assumptions!R$203=2027,1+Assumptions!$F$191,1))</f>
        <v>5334.52721145323</v>
      </c>
      <c r="S56" s="67" t="n">
        <f aca="false">S14*(Assumptions!$D$66*IF(Assumptions!S$203=2027,1+Assumptions!$F$191,1))</f>
        <v>5334.52760427547</v>
      </c>
      <c r="T56" s="67" t="n">
        <f aca="false">T14*(Assumptions!$D$66*IF(Assumptions!T$203=2027,1+Assumptions!$F$191,1))</f>
        <v>5334.5276938165</v>
      </c>
      <c r="U56" s="67" t="n">
        <f aca="false">U14*(Assumptions!$D$66*IF(Assumptions!U$203=2027,1+Assumptions!$F$191,1))</f>
        <v>5334.52768818893</v>
      </c>
      <c r="V56" s="67" t="n">
        <f aca="false">V14*(Assumptions!$D$66*IF(Assumptions!V$203=2027,1+Assumptions!$F$191,1))</f>
        <v>5334.52768720994</v>
      </c>
      <c r="W56" s="67" t="n">
        <f aca="false">W14*(Assumptions!$D$66*IF(Assumptions!W$203=2027,1+Assumptions!$F$191,1))</f>
        <v>5334.52768728701</v>
      </c>
      <c r="X56" s="67" t="n">
        <f aca="false">X14*(Assumptions!$D$66*IF(Assumptions!X$203=2027,1+Assumptions!$F$191,1))</f>
        <v>5334.52768729754</v>
      </c>
      <c r="Y56" s="67" t="n">
        <f aca="false">Y14*(Assumptions!$D$66*IF(Assumptions!Y$203=2027,1+Assumptions!$F$191,1))</f>
        <v>5334.52768729651</v>
      </c>
      <c r="Z56" s="67" t="n">
        <f aca="false">Z14*(Assumptions!$D$66*IF(Assumptions!Z$203=2027,1+Assumptions!$F$191,1))</f>
        <v>5334.5276872964</v>
      </c>
      <c r="AA56" s="67" t="n">
        <f aca="false">AA14*(Assumptions!$D$66*IF(Assumptions!AA$203=2027,1+Assumptions!$F$191,1))</f>
        <v>5334.52768729642</v>
      </c>
      <c r="AB56" s="67" t="n">
        <f aca="false">AB14*(Assumptions!$D$66*IF(Assumptions!AB$203=2027,1+Assumptions!$F$191,1))</f>
        <v>5334.52768729642</v>
      </c>
    </row>
    <row r="57" customFormat="false" ht="15" hidden="false" customHeight="false" outlineLevel="0" collapsed="false">
      <c r="A57" s="27" t="s">
        <v>1127</v>
      </c>
      <c r="B57" s="63" t="s">
        <v>1121</v>
      </c>
      <c r="C57" s="66" t="n">
        <f aca="false">SUM(E57:P57)</f>
        <v>280283.487237895</v>
      </c>
      <c r="D57" s="66" t="n">
        <f aca="false">SUM(Q57:AB57)</f>
        <v>313713.902259453</v>
      </c>
      <c r="E57" s="67" t="n">
        <f aca="false">E15*(Assumptions!$D$67*IF(Assumptions!E$203=2027,1+Assumptions!$F$191,1))</f>
        <v>21500</v>
      </c>
      <c r="F57" s="67" t="n">
        <f aca="false">F15*(Assumptions!$D$67*IF(Assumptions!F$203=2027,1+Assumptions!$F$191,1))</f>
        <v>23650</v>
      </c>
      <c r="G57" s="67" t="n">
        <f aca="false">G15*(Assumptions!$D$67*IF(Assumptions!G$203=2027,1+Assumptions!$F$191,1))</f>
        <v>23650</v>
      </c>
      <c r="H57" s="67" t="n">
        <f aca="false">H15*(Assumptions!$D$67*IF(Assumptions!H$203=2027,1+Assumptions!$F$191,1))</f>
        <v>23650</v>
      </c>
      <c r="I57" s="67" t="n">
        <f aca="false">I15*(Assumptions!$D$67*IF(Assumptions!I$203=2027,1+Assumptions!$F$191,1))</f>
        <v>23650</v>
      </c>
      <c r="J57" s="67" t="n">
        <f aca="false">J15*(Assumptions!$D$67*IF(Assumptions!J$203=2027,1+Assumptions!$F$191,1))</f>
        <v>23650</v>
      </c>
      <c r="K57" s="67" t="n">
        <f aca="false">K15*(Assumptions!$D$67*IF(Assumptions!K$203=2027,1+Assumptions!$F$191,1))</f>
        <v>23650</v>
      </c>
      <c r="L57" s="67" t="n">
        <f aca="false">L15*(Assumptions!$D$67*IF(Assumptions!L$203=2027,1+Assumptions!$F$191,1))</f>
        <v>23650</v>
      </c>
      <c r="M57" s="67" t="n">
        <f aca="false">M15*(Assumptions!$D$67*IF(Assumptions!M$203=2027,1+Assumptions!$F$191,1))</f>
        <v>23452.9166666667</v>
      </c>
      <c r="N57" s="67" t="n">
        <f aca="false">N15*(Assumptions!$D$67*IF(Assumptions!N$203=2027,1+Assumptions!$F$191,1))</f>
        <v>23257.4756944444</v>
      </c>
      <c r="O57" s="67" t="n">
        <f aca="false">O15*(Assumptions!$D$67*IF(Assumptions!O$203=2027,1+Assumptions!$F$191,1))</f>
        <v>23260.7467303241</v>
      </c>
      <c r="P57" s="67" t="n">
        <f aca="false">P15*(Assumptions!$D$67*IF(Assumptions!P$203=2027,1+Assumptions!$F$191,1))</f>
        <v>23262.3481464603</v>
      </c>
      <c r="Q57" s="67" t="n">
        <f aca="false">Q15*(Assumptions!$D$67*IF(Assumptions!Q$203=2027,1+Assumptions!$F$191,1))</f>
        <v>26174.6767689743</v>
      </c>
      <c r="R57" s="67" t="n">
        <f aca="false">R15*(Assumptions!$D$67*IF(Assumptions!R$203=2027,1+Assumptions!$F$191,1))</f>
        <v>26156.2092053348</v>
      </c>
      <c r="S57" s="67" t="n">
        <f aca="false">S15*(Assumptions!$D$67*IF(Assumptions!S$203=2027,1+Assumptions!$F$191,1))</f>
        <v>26137.9092835474</v>
      </c>
      <c r="T57" s="67" t="n">
        <f aca="false">T15*(Assumptions!$D$67*IF(Assumptions!T$203=2027,1+Assumptions!$F$191,1))</f>
        <v>26138.2156792593</v>
      </c>
      <c r="U57" s="67" t="n">
        <f aca="false">U15*(Assumptions!$D$67*IF(Assumptions!U$203=2027,1+Assumptions!$F$191,1))</f>
        <v>26138.3656253099</v>
      </c>
      <c r="V57" s="67" t="n">
        <f aca="false">V15*(Assumptions!$D$67*IF(Assumptions!V$203=2027,1+Assumptions!$F$191,1))</f>
        <v>26138.3618224619</v>
      </c>
      <c r="W57" s="67" t="n">
        <f aca="false">W15*(Assumptions!$D$67*IF(Assumptions!W$203=2027,1+Assumptions!$F$191,1))</f>
        <v>26138.3606046019</v>
      </c>
      <c r="X57" s="67" t="n">
        <f aca="false">X15*(Assumptions!$D$67*IF(Assumptions!X$203=2027,1+Assumptions!$F$191,1))</f>
        <v>26138.3606464411</v>
      </c>
      <c r="Y57" s="67" t="n">
        <f aca="false">Y15*(Assumptions!$D$67*IF(Assumptions!Y$203=2027,1+Assumptions!$F$191,1))</f>
        <v>26138.3606562413</v>
      </c>
      <c r="Z57" s="67" t="n">
        <f aca="false">Z15*(Assumptions!$D$67*IF(Assumptions!Z$203=2027,1+Assumptions!$F$191,1))</f>
        <v>26138.360655811</v>
      </c>
      <c r="AA57" s="67" t="n">
        <f aca="false">AA15*(Assumptions!$D$67*IF(Assumptions!AA$203=2027,1+Assumptions!$F$191,1))</f>
        <v>26138.3606557329</v>
      </c>
      <c r="AB57" s="67" t="n">
        <f aca="false">AB15*(Assumptions!$D$67*IF(Assumptions!AB$203=2027,1+Assumptions!$F$191,1))</f>
        <v>26138.3606557371</v>
      </c>
    </row>
    <row r="58" customFormat="false" ht="15" hidden="false" customHeight="false" outlineLevel="0" collapsed="false">
      <c r="A58" s="27" t="s">
        <v>1128</v>
      </c>
      <c r="B58" s="63" t="s">
        <v>1121</v>
      </c>
      <c r="C58" s="66" t="n">
        <f aca="false">SUM(E58:P58)</f>
        <v>68070.6502010996</v>
      </c>
      <c r="D58" s="66" t="n">
        <f aca="false">SUM(Q58:AB58)</f>
        <v>69297.0521149583</v>
      </c>
      <c r="E58" s="67" t="n">
        <f aca="false">E16*(Assumptions!$D$68*IF(Assumptions!E$203=2027,1+Assumptions!$F$191,1))</f>
        <v>5700</v>
      </c>
      <c r="F58" s="67" t="n">
        <f aca="false">F16*(Assumptions!$D$68*IF(Assumptions!F$203=2027,1+Assumptions!$F$191,1))</f>
        <v>5700</v>
      </c>
      <c r="G58" s="67" t="n">
        <f aca="false">G16*(Assumptions!$D$68*IF(Assumptions!G$203=2027,1+Assumptions!$F$191,1))</f>
        <v>5700</v>
      </c>
      <c r="H58" s="67" t="n">
        <f aca="false">H16*(Assumptions!$D$68*IF(Assumptions!H$203=2027,1+Assumptions!$F$191,1))</f>
        <v>5700</v>
      </c>
      <c r="I58" s="67" t="n">
        <f aca="false">I16*(Assumptions!$D$68*IF(Assumptions!I$203=2027,1+Assumptions!$F$191,1))</f>
        <v>5700</v>
      </c>
      <c r="J58" s="67" t="n">
        <f aca="false">J16*(Assumptions!$D$68*IF(Assumptions!J$203=2027,1+Assumptions!$F$191,1))</f>
        <v>5700</v>
      </c>
      <c r="K58" s="67" t="n">
        <f aca="false">K16*(Assumptions!$D$68*IF(Assumptions!K$203=2027,1+Assumptions!$F$191,1))</f>
        <v>5700</v>
      </c>
      <c r="L58" s="67" t="n">
        <f aca="false">L16*(Assumptions!$D$68*IF(Assumptions!L$203=2027,1+Assumptions!$F$191,1))</f>
        <v>5700</v>
      </c>
      <c r="M58" s="67" t="n">
        <f aca="false">M16*(Assumptions!$D$68*IF(Assumptions!M$203=2027,1+Assumptions!$F$191,1))</f>
        <v>5652.5</v>
      </c>
      <c r="N58" s="67" t="n">
        <f aca="false">N16*(Assumptions!$D$68*IF(Assumptions!N$203=2027,1+Assumptions!$F$191,1))</f>
        <v>5605.39583333333</v>
      </c>
      <c r="O58" s="67" t="n">
        <f aca="false">O16*(Assumptions!$D$68*IF(Assumptions!O$203=2027,1+Assumptions!$F$191,1))</f>
        <v>5606.18420138889</v>
      </c>
      <c r="P58" s="67" t="n">
        <f aca="false">P16*(Assumptions!$D$68*IF(Assumptions!P$203=2027,1+Assumptions!$F$191,1))</f>
        <v>5606.57016637732</v>
      </c>
      <c r="Q58" s="67" t="n">
        <f aca="false">Q16*(Assumptions!$D$68*IF(Assumptions!Q$203=2027,1+Assumptions!$F$191,1))</f>
        <v>5774.75719167667</v>
      </c>
      <c r="R58" s="67" t="n">
        <f aca="false">R16*(Assumptions!$D$68*IF(Assumptions!R$203=2027,1+Assumptions!$F$191,1))</f>
        <v>5774.75396280796</v>
      </c>
      <c r="S58" s="67" t="n">
        <f aca="false">S16*(Assumptions!$D$68*IF(Assumptions!S$203=2027,1+Assumptions!$F$191,1))</f>
        <v>5774.75407371263</v>
      </c>
      <c r="T58" s="67" t="n">
        <f aca="false">T16*(Assumptions!$D$68*IF(Assumptions!T$203=2027,1+Assumptions!$F$191,1))</f>
        <v>5774.75409969566</v>
      </c>
      <c r="U58" s="67" t="n">
        <f aca="false">U16*(Assumptions!$D$68*IF(Assumptions!U$203=2027,1+Assumptions!$F$191,1))</f>
        <v>5774.75409855493</v>
      </c>
      <c r="V58" s="67" t="n">
        <f aca="false">V16*(Assumptions!$D$68*IF(Assumptions!V$203=2027,1+Assumptions!$F$191,1))</f>
        <v>5774.75409834791</v>
      </c>
      <c r="W58" s="67" t="n">
        <f aca="false">W16*(Assumptions!$D$68*IF(Assumptions!W$203=2027,1+Assumptions!$F$191,1))</f>
        <v>5774.75409835914</v>
      </c>
      <c r="X58" s="67" t="n">
        <f aca="false">X16*(Assumptions!$D$68*IF(Assumptions!X$203=2027,1+Assumptions!$F$191,1))</f>
        <v>5774.75409836077</v>
      </c>
      <c r="Y58" s="67" t="n">
        <f aca="false">Y16*(Assumptions!$D$68*IF(Assumptions!Y$203=2027,1+Assumptions!$F$191,1))</f>
        <v>5774.75409836067</v>
      </c>
      <c r="Z58" s="67" t="n">
        <f aca="false">Z16*(Assumptions!$D$68*IF(Assumptions!Z$203=2027,1+Assumptions!$F$191,1))</f>
        <v>5774.75409836066</v>
      </c>
      <c r="AA58" s="67" t="n">
        <f aca="false">AA16*(Assumptions!$D$68*IF(Assumptions!AA$203=2027,1+Assumptions!$F$191,1))</f>
        <v>5774.75409836066</v>
      </c>
      <c r="AB58" s="67" t="n">
        <f aca="false">AB16*(Assumptions!$D$68*IF(Assumptions!AB$203=2027,1+Assumptions!$F$191,1))</f>
        <v>5774.75409836066</v>
      </c>
    </row>
    <row r="59" customFormat="false" ht="15" hidden="false" customHeight="false" outlineLevel="0" collapsed="false">
      <c r="A59" s="27" t="s">
        <v>1129</v>
      </c>
      <c r="B59" s="63" t="s">
        <v>1121</v>
      </c>
      <c r="C59" s="66" t="n">
        <f aca="false">SUM(E59:P59)</f>
        <v>42889.4649316406</v>
      </c>
      <c r="D59" s="66" t="n">
        <f aca="false">SUM(Q59:AB59)</f>
        <v>43410.7374975666</v>
      </c>
      <c r="E59" s="67" t="n">
        <f aca="false">E17*(Assumptions!$D$69*IF(Assumptions!E$203=2027,1+Assumptions!$F$191,1))</f>
        <v>3600</v>
      </c>
      <c r="F59" s="67" t="n">
        <f aca="false">F17*(Assumptions!$D$69*IF(Assumptions!F$203=2027,1+Assumptions!$F$191,1))</f>
        <v>3600</v>
      </c>
      <c r="G59" s="67" t="n">
        <f aca="false">G17*(Assumptions!$D$69*IF(Assumptions!G$203=2027,1+Assumptions!$F$191,1))</f>
        <v>3600</v>
      </c>
      <c r="H59" s="67" t="n">
        <f aca="false">H17*(Assumptions!$D$69*IF(Assumptions!H$203=2027,1+Assumptions!$F$191,1))</f>
        <v>3600</v>
      </c>
      <c r="I59" s="67" t="n">
        <f aca="false">I17*(Assumptions!$D$69*IF(Assumptions!I$203=2027,1+Assumptions!$F$191,1))</f>
        <v>3600</v>
      </c>
      <c r="J59" s="67" t="n">
        <f aca="false">J17*(Assumptions!$D$69*IF(Assumptions!J$203=2027,1+Assumptions!$F$191,1))</f>
        <v>3600</v>
      </c>
      <c r="K59" s="67" t="n">
        <f aca="false">K17*(Assumptions!$D$69*IF(Assumptions!K$203=2027,1+Assumptions!$F$191,1))</f>
        <v>3600</v>
      </c>
      <c r="L59" s="67" t="n">
        <f aca="false">L17*(Assumptions!$D$69*IF(Assumptions!L$203=2027,1+Assumptions!$F$191,1))</f>
        <v>3600</v>
      </c>
      <c r="M59" s="67" t="n">
        <f aca="false">M17*(Assumptions!$D$69*IF(Assumptions!M$203=2027,1+Assumptions!$F$191,1))</f>
        <v>3555</v>
      </c>
      <c r="N59" s="67" t="n">
        <f aca="false">N17*(Assumptions!$D$69*IF(Assumptions!N$203=2027,1+Assumptions!$F$191,1))</f>
        <v>3510.5625</v>
      </c>
      <c r="O59" s="67" t="n">
        <f aca="false">O17*(Assumptions!$D$69*IF(Assumptions!O$203=2027,1+Assumptions!$F$191,1))</f>
        <v>3511.68046875</v>
      </c>
      <c r="P59" s="67" t="n">
        <f aca="false">P17*(Assumptions!$D$69*IF(Assumptions!P$203=2027,1+Assumptions!$F$191,1))</f>
        <v>3512.22196289063</v>
      </c>
      <c r="Q59" s="67" t="n">
        <f aca="false">Q17*(Assumptions!$D$69*IF(Assumptions!Q$203=2027,1+Assumptions!$F$191,1))</f>
        <v>3617.56725619263</v>
      </c>
      <c r="R59" s="67" t="n">
        <f aca="false">R17*(Assumptions!$D$69*IF(Assumptions!R$203=2027,1+Assumptions!$F$191,1))</f>
        <v>3617.56055152538</v>
      </c>
      <c r="S59" s="67" t="n">
        <f aca="false">S17*(Assumptions!$D$69*IF(Assumptions!S$203=2027,1+Assumptions!$F$191,1))</f>
        <v>3617.56090240353</v>
      </c>
      <c r="T59" s="67" t="n">
        <f aca="false">T17*(Assumptions!$D$69*IF(Assumptions!T$203=2027,1+Assumptions!$F$191,1))</f>
        <v>3617.56098182589</v>
      </c>
      <c r="U59" s="67" t="n">
        <f aca="false">U17*(Assumptions!$D$69*IF(Assumptions!U$203=2027,1+Assumptions!$F$191,1))</f>
        <v>3617.56097644713</v>
      </c>
      <c r="V59" s="67" t="n">
        <f aca="false">V17*(Assumptions!$D$69*IF(Assumptions!V$203=2027,1+Assumptions!$F$191,1))</f>
        <v>3617.56097552159</v>
      </c>
      <c r="W59" s="67" t="n">
        <f aca="false">W17*(Assumptions!$D$69*IF(Assumptions!W$203=2027,1+Assumptions!$F$191,1))</f>
        <v>3617.56097560039</v>
      </c>
      <c r="X59" s="67" t="n">
        <f aca="false">X17*(Assumptions!$D$69*IF(Assumptions!X$203=2027,1+Assumptions!$F$191,1))</f>
        <v>3617.56097561097</v>
      </c>
      <c r="Y59" s="67" t="n">
        <f aca="false">Y17*(Assumptions!$D$69*IF(Assumptions!Y$203=2027,1+Assumptions!$F$191,1))</f>
        <v>3617.56097560986</v>
      </c>
      <c r="Z59" s="67" t="n">
        <f aca="false">Z17*(Assumptions!$D$69*IF(Assumptions!Z$203=2027,1+Assumptions!$F$191,1))</f>
        <v>3617.56097560974</v>
      </c>
      <c r="AA59" s="67" t="n">
        <f aca="false">AA17*(Assumptions!$D$69*IF(Assumptions!AA$203=2027,1+Assumptions!$F$191,1))</f>
        <v>3617.56097560976</v>
      </c>
      <c r="AB59" s="67" t="n">
        <f aca="false">AB17*(Assumptions!$D$69*IF(Assumptions!AB$203=2027,1+Assumptions!$F$191,1))</f>
        <v>3617.56097560976</v>
      </c>
    </row>
    <row r="60" customFormat="false" ht="15" hidden="false" customHeight="false" outlineLevel="0" collapsed="false">
      <c r="A60" s="27" t="s">
        <v>1130</v>
      </c>
      <c r="B60" s="63" t="s">
        <v>1121</v>
      </c>
      <c r="C60" s="66" t="n">
        <f aca="false">SUM(E60:P60)</f>
        <v>91309.9220703125</v>
      </c>
      <c r="D60" s="66" t="n">
        <f aca="false">SUM(Q60:AB60)</f>
        <v>120658.906382985</v>
      </c>
      <c r="E60" s="67" t="n">
        <f aca="false">E18*(Assumptions!$D$70*IF(Assumptions!E$203=2027,1+Assumptions!$F$191,1))</f>
        <v>6000</v>
      </c>
      <c r="F60" s="67" t="n">
        <f aca="false">F18*(Assumptions!$D$70*IF(Assumptions!F$203=2027,1+Assumptions!$F$191,1))</f>
        <v>6000</v>
      </c>
      <c r="G60" s="67" t="n">
        <f aca="false">G18*(Assumptions!$D$70*IF(Assumptions!G$203=2027,1+Assumptions!$F$191,1))</f>
        <v>8000</v>
      </c>
      <c r="H60" s="67" t="n">
        <f aca="false">H18*(Assumptions!$D$70*IF(Assumptions!H$203=2027,1+Assumptions!$F$191,1))</f>
        <v>8000</v>
      </c>
      <c r="I60" s="67" t="n">
        <f aca="false">I18*(Assumptions!$D$70*IF(Assumptions!I$203=2027,1+Assumptions!$F$191,1))</f>
        <v>8000</v>
      </c>
      <c r="J60" s="67" t="n">
        <f aca="false">J18*(Assumptions!$D$70*IF(Assumptions!J$203=2027,1+Assumptions!$F$191,1))</f>
        <v>8000</v>
      </c>
      <c r="K60" s="67" t="n">
        <f aca="false">K18*(Assumptions!$D$70*IF(Assumptions!K$203=2027,1+Assumptions!$F$191,1))</f>
        <v>8000</v>
      </c>
      <c r="L60" s="67" t="n">
        <f aca="false">L18*(Assumptions!$D$70*IF(Assumptions!L$203=2027,1+Assumptions!$F$191,1))</f>
        <v>8000</v>
      </c>
      <c r="M60" s="67" t="n">
        <f aca="false">M18*(Assumptions!$D$70*IF(Assumptions!M$203=2027,1+Assumptions!$F$191,1))</f>
        <v>7900</v>
      </c>
      <c r="N60" s="67" t="n">
        <f aca="false">N18*(Assumptions!$D$70*IF(Assumptions!N$203=2027,1+Assumptions!$F$191,1))</f>
        <v>7801.25</v>
      </c>
      <c r="O60" s="67" t="n">
        <f aca="false">O18*(Assumptions!$D$70*IF(Assumptions!O$203=2027,1+Assumptions!$F$191,1))</f>
        <v>7803.734375</v>
      </c>
      <c r="P60" s="67" t="n">
        <f aca="false">P18*(Assumptions!$D$70*IF(Assumptions!P$203=2027,1+Assumptions!$F$191,1))</f>
        <v>7804.9376953125</v>
      </c>
      <c r="Q60" s="67" t="n">
        <f aca="false">Q18*(Assumptions!$D$70*IF(Assumptions!Q$203=2027,1+Assumptions!$F$191,1))</f>
        <v>10099.0383470947</v>
      </c>
      <c r="R60" s="67" t="n">
        <f aca="false">R18*(Assumptions!$D$70*IF(Assumptions!R$203=2027,1+Assumptions!$F$191,1))</f>
        <v>10073.2734478342</v>
      </c>
      <c r="S60" s="67" t="n">
        <f aca="false">S18*(Assumptions!$D$70*IF(Assumptions!S$203=2027,1+Assumptions!$F$191,1))</f>
        <v>10047.8461025634</v>
      </c>
      <c r="T60" s="67" t="n">
        <f aca="false">T18*(Assumptions!$D$70*IF(Assumptions!T$203=2027,1+Assumptions!$F$191,1))</f>
        <v>10048.48600562</v>
      </c>
      <c r="U60" s="67" t="n">
        <f aca="false">U18*(Assumptions!$D$70*IF(Assumptions!U$203=2027,1+Assumptions!$F$191,1))</f>
        <v>10048.7958486477</v>
      </c>
      <c r="V60" s="67" t="n">
        <f aca="false">V18*(Assumptions!$D$70*IF(Assumptions!V$203=2027,1+Assumptions!$F$191,1))</f>
        <v>10048.7839768217</v>
      </c>
      <c r="W60" s="67" t="n">
        <f aca="false">W18*(Assumptions!$D$70*IF(Assumptions!W$203=2027,1+Assumptions!$F$191,1))</f>
        <v>10048.7802521816</v>
      </c>
      <c r="X60" s="67" t="n">
        <f aca="false">X18*(Assumptions!$D$70*IF(Assumptions!X$203=2027,1+Assumptions!$F$191,1))</f>
        <v>10048.7804471375</v>
      </c>
      <c r="Y60" s="67" t="n">
        <f aca="false">Y18*(Assumptions!$D$70*IF(Assumptions!Y$203=2027,1+Assumptions!$F$191,1))</f>
        <v>10048.7804912585</v>
      </c>
      <c r="Z60" s="67" t="n">
        <f aca="false">Z18*(Assumptions!$D$70*IF(Assumptions!Z$203=2027,1+Assumptions!$F$191,1))</f>
        <v>10048.7804882701</v>
      </c>
      <c r="AA60" s="67" t="n">
        <f aca="false">AA18*(Assumptions!$D$70*IF(Assumptions!AA$203=2027,1+Assumptions!$F$191,1))</f>
        <v>10048.7804877559</v>
      </c>
      <c r="AB60" s="67" t="n">
        <f aca="false">AB18*(Assumptions!$D$70*IF(Assumptions!AB$203=2027,1+Assumptions!$F$191,1))</f>
        <v>10048.7804877997</v>
      </c>
    </row>
    <row r="61" customFormat="false" ht="15" hidden="false" customHeight="false" outlineLevel="0" collapsed="false">
      <c r="A61" s="27" t="s">
        <v>1131</v>
      </c>
      <c r="B61" s="63" t="s">
        <v>1121</v>
      </c>
      <c r="C61" s="66" t="n">
        <f aca="false">SUM(E61:P61)</f>
        <v>30975.7246728516</v>
      </c>
      <c r="D61" s="66" t="n">
        <f aca="false">SUM(Q61:AB61)</f>
        <v>31352.1993037981</v>
      </c>
      <c r="E61" s="67" t="n">
        <f aca="false">E19*(Assumptions!$D$71*IF(Assumptions!E$203=2027,1+Assumptions!$F$191,1))</f>
        <v>2600</v>
      </c>
      <c r="F61" s="67" t="n">
        <f aca="false">F19*(Assumptions!$D$71*IF(Assumptions!F$203=2027,1+Assumptions!$F$191,1))</f>
        <v>2600</v>
      </c>
      <c r="G61" s="67" t="n">
        <f aca="false">G19*(Assumptions!$D$71*IF(Assumptions!G$203=2027,1+Assumptions!$F$191,1))</f>
        <v>2600</v>
      </c>
      <c r="H61" s="67" t="n">
        <f aca="false">H19*(Assumptions!$D$71*IF(Assumptions!H$203=2027,1+Assumptions!$F$191,1))</f>
        <v>2600</v>
      </c>
      <c r="I61" s="67" t="n">
        <f aca="false">I19*(Assumptions!$D$71*IF(Assumptions!I$203=2027,1+Assumptions!$F$191,1))</f>
        <v>2600</v>
      </c>
      <c r="J61" s="67" t="n">
        <f aca="false">J19*(Assumptions!$D$71*IF(Assumptions!J$203=2027,1+Assumptions!$F$191,1))</f>
        <v>2600</v>
      </c>
      <c r="K61" s="67" t="n">
        <f aca="false">K19*(Assumptions!$D$71*IF(Assumptions!K$203=2027,1+Assumptions!$F$191,1))</f>
        <v>2600</v>
      </c>
      <c r="L61" s="67" t="n">
        <f aca="false">L19*(Assumptions!$D$71*IF(Assumptions!L$203=2027,1+Assumptions!$F$191,1))</f>
        <v>2600</v>
      </c>
      <c r="M61" s="67" t="n">
        <f aca="false">M19*(Assumptions!$D$71*IF(Assumptions!M$203=2027,1+Assumptions!$F$191,1))</f>
        <v>2567.5</v>
      </c>
      <c r="N61" s="67" t="n">
        <f aca="false">N19*(Assumptions!$D$71*IF(Assumptions!N$203=2027,1+Assumptions!$F$191,1))</f>
        <v>2535.40625</v>
      </c>
      <c r="O61" s="67" t="n">
        <f aca="false">O19*(Assumptions!$D$71*IF(Assumptions!O$203=2027,1+Assumptions!$F$191,1))</f>
        <v>2536.213671875</v>
      </c>
      <c r="P61" s="67" t="n">
        <f aca="false">P19*(Assumptions!$D$71*IF(Assumptions!P$203=2027,1+Assumptions!$F$191,1))</f>
        <v>2536.60475097656</v>
      </c>
      <c r="Q61" s="67" t="n">
        <f aca="false">Q19*(Assumptions!$D$71*IF(Assumptions!Q$203=2027,1+Assumptions!$F$191,1))</f>
        <v>2612.68746280579</v>
      </c>
      <c r="R61" s="67" t="n">
        <f aca="false">R19*(Assumptions!$D$71*IF(Assumptions!R$203=2027,1+Assumptions!$F$191,1))</f>
        <v>2612.6826205461</v>
      </c>
      <c r="S61" s="67" t="n">
        <f aca="false">S19*(Assumptions!$D$71*IF(Assumptions!S$203=2027,1+Assumptions!$F$191,1))</f>
        <v>2612.6828739581</v>
      </c>
      <c r="T61" s="67" t="n">
        <f aca="false">T19*(Assumptions!$D$71*IF(Assumptions!T$203=2027,1+Assumptions!$F$191,1))</f>
        <v>2612.6829313187</v>
      </c>
      <c r="U61" s="67" t="n">
        <f aca="false">U19*(Assumptions!$D$71*IF(Assumptions!U$203=2027,1+Assumptions!$F$191,1))</f>
        <v>2612.68292743404</v>
      </c>
      <c r="V61" s="67" t="n">
        <f aca="false">V19*(Assumptions!$D$71*IF(Assumptions!V$203=2027,1+Assumptions!$F$191,1))</f>
        <v>2612.68292676559</v>
      </c>
      <c r="W61" s="67" t="n">
        <f aca="false">W19*(Assumptions!$D$71*IF(Assumptions!W$203=2027,1+Assumptions!$F$191,1))</f>
        <v>2612.6829268225</v>
      </c>
      <c r="X61" s="67" t="n">
        <f aca="false">X19*(Assumptions!$D$71*IF(Assumptions!X$203=2027,1+Assumptions!$F$191,1))</f>
        <v>2612.68292683015</v>
      </c>
      <c r="Y61" s="67" t="n">
        <f aca="false">Y19*(Assumptions!$D$71*IF(Assumptions!Y$203=2027,1+Assumptions!$F$191,1))</f>
        <v>2612.68292682934</v>
      </c>
      <c r="Z61" s="67" t="n">
        <f aca="false">Z19*(Assumptions!$D$71*IF(Assumptions!Z$203=2027,1+Assumptions!$F$191,1))</f>
        <v>2612.68292682926</v>
      </c>
      <c r="AA61" s="67" t="n">
        <f aca="false">AA19*(Assumptions!$D$71*IF(Assumptions!AA$203=2027,1+Assumptions!$F$191,1))</f>
        <v>2612.68292682927</v>
      </c>
      <c r="AB61" s="67" t="n">
        <f aca="false">AB19*(Assumptions!$D$71*IF(Assumptions!AB$203=2027,1+Assumptions!$F$191,1))</f>
        <v>2612.68292682927</v>
      </c>
    </row>
    <row r="62" customFormat="false" ht="15" hidden="false" customHeight="false" outlineLevel="0" collapsed="false">
      <c r="A62" s="27" t="s">
        <v>1132</v>
      </c>
      <c r="B62" s="63" t="s">
        <v>1121</v>
      </c>
      <c r="C62" s="66" t="n">
        <f aca="false">SUM(E62:P62)</f>
        <v>21444.7324658203</v>
      </c>
      <c r="D62" s="66" t="n">
        <f aca="false">SUM(Q62:AB62)</f>
        <v>21705.3687487833</v>
      </c>
      <c r="E62" s="67" t="n">
        <f aca="false">E20*(Assumptions!$D$72*IF(Assumptions!E$203=2027,1+Assumptions!$F$191,1))</f>
        <v>1800</v>
      </c>
      <c r="F62" s="67" t="n">
        <f aca="false">F20*(Assumptions!$D$72*IF(Assumptions!F$203=2027,1+Assumptions!$F$191,1))</f>
        <v>1800</v>
      </c>
      <c r="G62" s="67" t="n">
        <f aca="false">G20*(Assumptions!$D$72*IF(Assumptions!G$203=2027,1+Assumptions!$F$191,1))</f>
        <v>1800</v>
      </c>
      <c r="H62" s="67" t="n">
        <f aca="false">H20*(Assumptions!$D$72*IF(Assumptions!H$203=2027,1+Assumptions!$F$191,1))</f>
        <v>1800</v>
      </c>
      <c r="I62" s="67" t="n">
        <f aca="false">I20*(Assumptions!$D$72*IF(Assumptions!I$203=2027,1+Assumptions!$F$191,1))</f>
        <v>1800</v>
      </c>
      <c r="J62" s="67" t="n">
        <f aca="false">J20*(Assumptions!$D$72*IF(Assumptions!J$203=2027,1+Assumptions!$F$191,1))</f>
        <v>1800</v>
      </c>
      <c r="K62" s="67" t="n">
        <f aca="false">K20*(Assumptions!$D$72*IF(Assumptions!K$203=2027,1+Assumptions!$F$191,1))</f>
        <v>1800</v>
      </c>
      <c r="L62" s="67" t="n">
        <f aca="false">L20*(Assumptions!$D$72*IF(Assumptions!L$203=2027,1+Assumptions!$F$191,1))</f>
        <v>1800</v>
      </c>
      <c r="M62" s="67" t="n">
        <f aca="false">M20*(Assumptions!$D$72*IF(Assumptions!M$203=2027,1+Assumptions!$F$191,1))</f>
        <v>1777.5</v>
      </c>
      <c r="N62" s="67" t="n">
        <f aca="false">N20*(Assumptions!$D$72*IF(Assumptions!N$203=2027,1+Assumptions!$F$191,1))</f>
        <v>1755.28125</v>
      </c>
      <c r="O62" s="67" t="n">
        <f aca="false">O20*(Assumptions!$D$72*IF(Assumptions!O$203=2027,1+Assumptions!$F$191,1))</f>
        <v>1755.840234375</v>
      </c>
      <c r="P62" s="67" t="n">
        <f aca="false">P20*(Assumptions!$D$72*IF(Assumptions!P$203=2027,1+Assumptions!$F$191,1))</f>
        <v>1756.11098144531</v>
      </c>
      <c r="Q62" s="67" t="n">
        <f aca="false">Q20*(Assumptions!$D$72*IF(Assumptions!Q$203=2027,1+Assumptions!$F$191,1))</f>
        <v>1808.78362809631</v>
      </c>
      <c r="R62" s="67" t="n">
        <f aca="false">R20*(Assumptions!$D$72*IF(Assumptions!R$203=2027,1+Assumptions!$F$191,1))</f>
        <v>1808.78027576269</v>
      </c>
      <c r="S62" s="67" t="n">
        <f aca="false">S20*(Assumptions!$D$72*IF(Assumptions!S$203=2027,1+Assumptions!$F$191,1))</f>
        <v>1808.78045120176</v>
      </c>
      <c r="T62" s="67" t="n">
        <f aca="false">T20*(Assumptions!$D$72*IF(Assumptions!T$203=2027,1+Assumptions!$F$191,1))</f>
        <v>1808.78049091294</v>
      </c>
      <c r="U62" s="67" t="n">
        <f aca="false">U20*(Assumptions!$D$72*IF(Assumptions!U$203=2027,1+Assumptions!$F$191,1))</f>
        <v>1808.78048822357</v>
      </c>
      <c r="V62" s="67" t="n">
        <f aca="false">V20*(Assumptions!$D$72*IF(Assumptions!V$203=2027,1+Assumptions!$F$191,1))</f>
        <v>1808.78048776079</v>
      </c>
      <c r="W62" s="67" t="n">
        <f aca="false">W20*(Assumptions!$D$72*IF(Assumptions!W$203=2027,1+Assumptions!$F$191,1))</f>
        <v>1808.7804878002</v>
      </c>
      <c r="X62" s="67" t="n">
        <f aca="false">X20*(Assumptions!$D$72*IF(Assumptions!X$203=2027,1+Assumptions!$F$191,1))</f>
        <v>1808.78048780549</v>
      </c>
      <c r="Y62" s="67" t="n">
        <f aca="false">Y20*(Assumptions!$D$72*IF(Assumptions!Y$203=2027,1+Assumptions!$F$191,1))</f>
        <v>1808.78048780493</v>
      </c>
      <c r="Z62" s="67" t="n">
        <f aca="false">Z20*(Assumptions!$D$72*IF(Assumptions!Z$203=2027,1+Assumptions!$F$191,1))</f>
        <v>1808.78048780487</v>
      </c>
      <c r="AA62" s="67" t="n">
        <f aca="false">AA20*(Assumptions!$D$72*IF(Assumptions!AA$203=2027,1+Assumptions!$F$191,1))</f>
        <v>1808.78048780488</v>
      </c>
      <c r="AB62" s="67" t="n">
        <f aca="false">AB20*(Assumptions!$D$72*IF(Assumptions!AB$203=2027,1+Assumptions!$F$191,1))</f>
        <v>1808.78048780488</v>
      </c>
    </row>
    <row r="63" customFormat="false" ht="15" hidden="false" customHeight="false" outlineLevel="0" collapsed="false">
      <c r="A63" s="27" t="s">
        <v>1133</v>
      </c>
      <c r="B63" s="63" t="s">
        <v>1121</v>
      </c>
      <c r="C63" s="66" t="n">
        <f aca="false">SUM(E63:P63)</f>
        <v>119651.99375625</v>
      </c>
      <c r="D63" s="66" t="n">
        <f aca="false">SUM(Q63:AB63)</f>
        <v>122376.238804359</v>
      </c>
      <c r="E63" s="67" t="n">
        <f aca="false">E21*(Assumptions!$D$73*IF(Assumptions!E$203=2027,1+Assumptions!$F$191,1))</f>
        <v>10000</v>
      </c>
      <c r="F63" s="67" t="n">
        <f aca="false">F21*(Assumptions!$D$73*IF(Assumptions!F$203=2027,1+Assumptions!$F$191,1))</f>
        <v>10000</v>
      </c>
      <c r="G63" s="67" t="n">
        <f aca="false">G21*(Assumptions!$D$73*IF(Assumptions!G$203=2027,1+Assumptions!$F$191,1))</f>
        <v>10000</v>
      </c>
      <c r="H63" s="67" t="n">
        <f aca="false">H21*(Assumptions!$D$73*IF(Assumptions!H$203=2027,1+Assumptions!$F$191,1))</f>
        <v>10000</v>
      </c>
      <c r="I63" s="67" t="n">
        <f aca="false">I21*(Assumptions!$D$73*IF(Assumptions!I$203=2027,1+Assumptions!$F$191,1))</f>
        <v>10000</v>
      </c>
      <c r="J63" s="67" t="n">
        <f aca="false">J21*(Assumptions!$D$73*IF(Assumptions!J$203=2027,1+Assumptions!$F$191,1))</f>
        <v>10000</v>
      </c>
      <c r="K63" s="67" t="n">
        <f aca="false">K21*(Assumptions!$D$73*IF(Assumptions!K$203=2027,1+Assumptions!$F$191,1))</f>
        <v>10000</v>
      </c>
      <c r="L63" s="67" t="n">
        <f aca="false">L21*(Assumptions!$D$73*IF(Assumptions!L$203=2027,1+Assumptions!$F$191,1))</f>
        <v>10000</v>
      </c>
      <c r="M63" s="67" t="n">
        <f aca="false">M21*(Assumptions!$D$73*IF(Assumptions!M$203=2027,1+Assumptions!$F$191,1))</f>
        <v>9950</v>
      </c>
      <c r="N63" s="67" t="n">
        <f aca="false">N21*(Assumptions!$D$73*IF(Assumptions!N$203=2027,1+Assumptions!$F$191,1))</f>
        <v>9900.25</v>
      </c>
      <c r="O63" s="67" t="n">
        <f aca="false">O21*(Assumptions!$D$73*IF(Assumptions!O$203=2027,1+Assumptions!$F$191,1))</f>
        <v>9900.74875</v>
      </c>
      <c r="P63" s="67" t="n">
        <f aca="false">P21*(Assumptions!$D$73*IF(Assumptions!P$203=2027,1+Assumptions!$F$191,1))</f>
        <v>9900.99500625</v>
      </c>
      <c r="Q63" s="67" t="n">
        <f aca="false">Q21*(Assumptions!$D$73*IF(Assumptions!Q$203=2027,1+Assumptions!$F$191,1))</f>
        <v>10198.0210196553</v>
      </c>
      <c r="R63" s="67" t="n">
        <f aca="false">R21*(Assumptions!$D$73*IF(Assumptions!R$203=2027,1+Assumptions!$F$191,1))</f>
        <v>10198.0197706195</v>
      </c>
      <c r="S63" s="67" t="n">
        <f aca="false">S21*(Assumptions!$D$73*IF(Assumptions!S$203=2027,1+Assumptions!$F$191,1))</f>
        <v>10198.0197960486</v>
      </c>
      <c r="T63" s="67" t="n">
        <f aca="false">T21*(Assumptions!$D$73*IF(Assumptions!T$203=2027,1+Assumptions!$F$191,1))</f>
        <v>10198.0198021667</v>
      </c>
      <c r="U63" s="67" t="n">
        <f aca="false">U21*(Assumptions!$D$73*IF(Assumptions!U$203=2027,1+Assumptions!$F$191,1))</f>
        <v>10198.0198020089</v>
      </c>
      <c r="V63" s="67" t="n">
        <f aca="false">V21*(Assumptions!$D$73*IF(Assumptions!V$203=2027,1+Assumptions!$F$191,1))</f>
        <v>10198.0198019791</v>
      </c>
      <c r="W63" s="67" t="n">
        <f aca="false">W21*(Assumptions!$D$73*IF(Assumptions!W$203=2027,1+Assumptions!$F$191,1))</f>
        <v>10198.0198019801</v>
      </c>
      <c r="X63" s="67" t="n">
        <f aca="false">X21*(Assumptions!$D$73*IF(Assumptions!X$203=2027,1+Assumptions!$F$191,1))</f>
        <v>10198.0198019802</v>
      </c>
      <c r="Y63" s="67" t="n">
        <f aca="false">Y21*(Assumptions!$D$73*IF(Assumptions!Y$203=2027,1+Assumptions!$F$191,1))</f>
        <v>10198.0198019802</v>
      </c>
      <c r="Z63" s="67" t="n">
        <f aca="false">Z21*(Assumptions!$D$73*IF(Assumptions!Z$203=2027,1+Assumptions!$F$191,1))</f>
        <v>10198.0198019802</v>
      </c>
      <c r="AA63" s="67" t="n">
        <f aca="false">AA21*(Assumptions!$D$73*IF(Assumptions!AA$203=2027,1+Assumptions!$F$191,1))</f>
        <v>10198.0198019802</v>
      </c>
      <c r="AB63" s="67" t="n">
        <f aca="false">AB21*(Assumptions!$D$73*IF(Assumptions!AB$203=2027,1+Assumptions!$F$191,1))</f>
        <v>10198.0198019802</v>
      </c>
    </row>
    <row r="64" customFormat="false" ht="15" hidden="false" customHeight="false" outlineLevel="0" collapsed="false">
      <c r="A64" s="27" t="s">
        <v>1134</v>
      </c>
      <c r="B64" s="63" t="s">
        <v>1121</v>
      </c>
      <c r="C64" s="66" t="n">
        <f aca="false">SUM(E64:P64)</f>
        <v>71791.19625375</v>
      </c>
      <c r="D64" s="66" t="n">
        <f aca="false">SUM(Q64:AB64)</f>
        <v>73425.7432826155</v>
      </c>
      <c r="E64" s="67" t="n">
        <f aca="false">E22*(Assumptions!$D$74*IF(Assumptions!E$203=2027,1+Assumptions!$F$191,1))</f>
        <v>6000</v>
      </c>
      <c r="F64" s="67" t="n">
        <f aca="false">F22*(Assumptions!$D$74*IF(Assumptions!F$203=2027,1+Assumptions!$F$191,1))</f>
        <v>6000</v>
      </c>
      <c r="G64" s="67" t="n">
        <f aca="false">G22*(Assumptions!$D$74*IF(Assumptions!G$203=2027,1+Assumptions!$F$191,1))</f>
        <v>6000</v>
      </c>
      <c r="H64" s="67" t="n">
        <f aca="false">H22*(Assumptions!$D$74*IF(Assumptions!H$203=2027,1+Assumptions!$F$191,1))</f>
        <v>6000</v>
      </c>
      <c r="I64" s="67" t="n">
        <f aca="false">I22*(Assumptions!$D$74*IF(Assumptions!I$203=2027,1+Assumptions!$F$191,1))</f>
        <v>6000</v>
      </c>
      <c r="J64" s="67" t="n">
        <f aca="false">J22*(Assumptions!$D$74*IF(Assumptions!J$203=2027,1+Assumptions!$F$191,1))</f>
        <v>6000</v>
      </c>
      <c r="K64" s="67" t="n">
        <f aca="false">K22*(Assumptions!$D$74*IF(Assumptions!K$203=2027,1+Assumptions!$F$191,1))</f>
        <v>6000</v>
      </c>
      <c r="L64" s="67" t="n">
        <f aca="false">L22*(Assumptions!$D$74*IF(Assumptions!L$203=2027,1+Assumptions!$F$191,1))</f>
        <v>6000</v>
      </c>
      <c r="M64" s="67" t="n">
        <f aca="false">M22*(Assumptions!$D$74*IF(Assumptions!M$203=2027,1+Assumptions!$F$191,1))</f>
        <v>5970</v>
      </c>
      <c r="N64" s="67" t="n">
        <f aca="false">N22*(Assumptions!$D$74*IF(Assumptions!N$203=2027,1+Assumptions!$F$191,1))</f>
        <v>5940.15</v>
      </c>
      <c r="O64" s="67" t="n">
        <f aca="false">O22*(Assumptions!$D$74*IF(Assumptions!O$203=2027,1+Assumptions!$F$191,1))</f>
        <v>5940.44925</v>
      </c>
      <c r="P64" s="67" t="n">
        <f aca="false">P22*(Assumptions!$D$74*IF(Assumptions!P$203=2027,1+Assumptions!$F$191,1))</f>
        <v>5940.59700375</v>
      </c>
      <c r="Q64" s="67" t="n">
        <f aca="false">Q22*(Assumptions!$D$74*IF(Assumptions!Q$203=2027,1+Assumptions!$F$191,1))</f>
        <v>6118.81261179319</v>
      </c>
      <c r="R64" s="67" t="n">
        <f aca="false">R22*(Assumptions!$D$74*IF(Assumptions!R$203=2027,1+Assumptions!$F$191,1))</f>
        <v>6118.81186237172</v>
      </c>
      <c r="S64" s="67" t="n">
        <f aca="false">S22*(Assumptions!$D$74*IF(Assumptions!S$203=2027,1+Assumptions!$F$191,1))</f>
        <v>6118.81187762918</v>
      </c>
      <c r="T64" s="67" t="n">
        <f aca="false">T22*(Assumptions!$D$74*IF(Assumptions!T$203=2027,1+Assumptions!$F$191,1))</f>
        <v>6118.8118813</v>
      </c>
      <c r="U64" s="67" t="n">
        <f aca="false">U22*(Assumptions!$D$74*IF(Assumptions!U$203=2027,1+Assumptions!$F$191,1))</f>
        <v>6118.81188120536</v>
      </c>
      <c r="V64" s="67" t="n">
        <f aca="false">V22*(Assumptions!$D$74*IF(Assumptions!V$203=2027,1+Assumptions!$F$191,1))</f>
        <v>6118.81188118747</v>
      </c>
      <c r="W64" s="67" t="n">
        <f aca="false">W22*(Assumptions!$D$74*IF(Assumptions!W$203=2027,1+Assumptions!$F$191,1))</f>
        <v>6118.81188118804</v>
      </c>
      <c r="X64" s="67" t="n">
        <f aca="false">X22*(Assumptions!$D$74*IF(Assumptions!X$203=2027,1+Assumptions!$F$191,1))</f>
        <v>6118.81188118812</v>
      </c>
      <c r="Y64" s="67" t="n">
        <f aca="false">Y22*(Assumptions!$D$74*IF(Assumptions!Y$203=2027,1+Assumptions!$F$191,1))</f>
        <v>6118.81188118812</v>
      </c>
      <c r="Z64" s="67" t="n">
        <f aca="false">Z22*(Assumptions!$D$74*IF(Assumptions!Z$203=2027,1+Assumptions!$F$191,1))</f>
        <v>6118.81188118812</v>
      </c>
      <c r="AA64" s="67" t="n">
        <f aca="false">AA22*(Assumptions!$D$74*IF(Assumptions!AA$203=2027,1+Assumptions!$F$191,1))</f>
        <v>6118.81188118812</v>
      </c>
      <c r="AB64" s="67" t="n">
        <f aca="false">AB22*(Assumptions!$D$74*IF(Assumptions!AB$203=2027,1+Assumptions!$F$191,1))</f>
        <v>6118.81188118812</v>
      </c>
    </row>
    <row r="65" customFormat="false" ht="15" hidden="false" customHeight="false" outlineLevel="0" collapsed="false">
      <c r="A65" s="27" t="s">
        <v>1135</v>
      </c>
      <c r="B65" s="63" t="s">
        <v>1121</v>
      </c>
      <c r="C65" s="66" t="n">
        <f aca="false">SUM(E65:P65)</f>
        <v>20340.8389385625</v>
      </c>
      <c r="D65" s="66" t="n">
        <f aca="false">SUM(Q65:AB65)</f>
        <v>20803.9605967411</v>
      </c>
      <c r="E65" s="67" t="n">
        <f aca="false">E23*(Assumptions!$D$75*IF(Assumptions!E$203=2027,1+Assumptions!$F$191,1))</f>
        <v>1700</v>
      </c>
      <c r="F65" s="67" t="n">
        <f aca="false">F23*(Assumptions!$D$75*IF(Assumptions!F$203=2027,1+Assumptions!$F$191,1))</f>
        <v>1700</v>
      </c>
      <c r="G65" s="67" t="n">
        <f aca="false">G23*(Assumptions!$D$75*IF(Assumptions!G$203=2027,1+Assumptions!$F$191,1))</f>
        <v>1700</v>
      </c>
      <c r="H65" s="67" t="n">
        <f aca="false">H23*(Assumptions!$D$75*IF(Assumptions!H$203=2027,1+Assumptions!$F$191,1))</f>
        <v>1700</v>
      </c>
      <c r="I65" s="67" t="n">
        <f aca="false">I23*(Assumptions!$D$75*IF(Assumptions!I$203=2027,1+Assumptions!$F$191,1))</f>
        <v>1700</v>
      </c>
      <c r="J65" s="67" t="n">
        <f aca="false">J23*(Assumptions!$D$75*IF(Assumptions!J$203=2027,1+Assumptions!$F$191,1))</f>
        <v>1700</v>
      </c>
      <c r="K65" s="67" t="n">
        <f aca="false">K23*(Assumptions!$D$75*IF(Assumptions!K$203=2027,1+Assumptions!$F$191,1))</f>
        <v>1700</v>
      </c>
      <c r="L65" s="67" t="n">
        <f aca="false">L23*(Assumptions!$D$75*IF(Assumptions!L$203=2027,1+Assumptions!$F$191,1))</f>
        <v>1700</v>
      </c>
      <c r="M65" s="67" t="n">
        <f aca="false">M23*(Assumptions!$D$75*IF(Assumptions!M$203=2027,1+Assumptions!$F$191,1))</f>
        <v>1691.5</v>
      </c>
      <c r="N65" s="67" t="n">
        <f aca="false">N23*(Assumptions!$D$75*IF(Assumptions!N$203=2027,1+Assumptions!$F$191,1))</f>
        <v>1683.0425</v>
      </c>
      <c r="O65" s="67" t="n">
        <f aca="false">O23*(Assumptions!$D$75*IF(Assumptions!O$203=2027,1+Assumptions!$F$191,1))</f>
        <v>1683.1272875</v>
      </c>
      <c r="P65" s="67" t="n">
        <f aca="false">P23*(Assumptions!$D$75*IF(Assumptions!P$203=2027,1+Assumptions!$F$191,1))</f>
        <v>1683.1691510625</v>
      </c>
      <c r="Q65" s="67" t="n">
        <f aca="false">Q23*(Assumptions!$D$75*IF(Assumptions!Q$203=2027,1+Assumptions!$F$191,1))</f>
        <v>1733.6635733414</v>
      </c>
      <c r="R65" s="67" t="n">
        <f aca="false">R23*(Assumptions!$D$75*IF(Assumptions!R$203=2027,1+Assumptions!$F$191,1))</f>
        <v>1733.66336100532</v>
      </c>
      <c r="S65" s="67" t="n">
        <f aca="false">S23*(Assumptions!$D$75*IF(Assumptions!S$203=2027,1+Assumptions!$F$191,1))</f>
        <v>1733.66336532827</v>
      </c>
      <c r="T65" s="67" t="n">
        <f aca="false">T23*(Assumptions!$D$75*IF(Assumptions!T$203=2027,1+Assumptions!$F$191,1))</f>
        <v>1733.66336636833</v>
      </c>
      <c r="U65" s="67" t="n">
        <f aca="false">U23*(Assumptions!$D$75*IF(Assumptions!U$203=2027,1+Assumptions!$F$191,1))</f>
        <v>1733.66336634152</v>
      </c>
      <c r="V65" s="67" t="n">
        <f aca="false">V23*(Assumptions!$D$75*IF(Assumptions!V$203=2027,1+Assumptions!$F$191,1))</f>
        <v>1733.66336633645</v>
      </c>
      <c r="W65" s="67" t="n">
        <f aca="false">W23*(Assumptions!$D$75*IF(Assumptions!W$203=2027,1+Assumptions!$F$191,1))</f>
        <v>1733.66336633661</v>
      </c>
      <c r="X65" s="67" t="n">
        <f aca="false">X23*(Assumptions!$D$75*IF(Assumptions!X$203=2027,1+Assumptions!$F$191,1))</f>
        <v>1733.66336633664</v>
      </c>
      <c r="Y65" s="67" t="n">
        <f aca="false">Y23*(Assumptions!$D$75*IF(Assumptions!Y$203=2027,1+Assumptions!$F$191,1))</f>
        <v>1733.66336633663</v>
      </c>
      <c r="Z65" s="67" t="n">
        <f aca="false">Z23*(Assumptions!$D$75*IF(Assumptions!Z$203=2027,1+Assumptions!$F$191,1))</f>
        <v>1733.66336633663</v>
      </c>
      <c r="AA65" s="67" t="n">
        <f aca="false">AA23*(Assumptions!$D$75*IF(Assumptions!AA$203=2027,1+Assumptions!$F$191,1))</f>
        <v>1733.66336633663</v>
      </c>
      <c r="AB65" s="67" t="n">
        <f aca="false">AB23*(Assumptions!$D$75*IF(Assumptions!AB$203=2027,1+Assumptions!$F$191,1))</f>
        <v>1733.66336633663</v>
      </c>
    </row>
    <row r="66" customFormat="false" ht="15" hidden="false" customHeight="false" outlineLevel="0" collapsed="false">
      <c r="A66" s="27" t="s">
        <v>1136</v>
      </c>
      <c r="B66" s="63" t="s">
        <v>1121</v>
      </c>
      <c r="C66" s="66" t="n">
        <f aca="false">SUM(E66:P66)</f>
        <v>31109.518376625</v>
      </c>
      <c r="D66" s="66" t="n">
        <f aca="false">SUM(Q66:AB66)</f>
        <v>31817.8220891334</v>
      </c>
      <c r="E66" s="67" t="n">
        <f aca="false">E24*(Assumptions!$D$76*IF(Assumptions!E$203=2027,1+Assumptions!$F$191,1))</f>
        <v>2600</v>
      </c>
      <c r="F66" s="67" t="n">
        <f aca="false">F24*(Assumptions!$D$76*IF(Assumptions!F$203=2027,1+Assumptions!$F$191,1))</f>
        <v>2600</v>
      </c>
      <c r="G66" s="67" t="n">
        <f aca="false">G24*(Assumptions!$D$76*IF(Assumptions!G$203=2027,1+Assumptions!$F$191,1))</f>
        <v>2600</v>
      </c>
      <c r="H66" s="67" t="n">
        <f aca="false">H24*(Assumptions!$D$76*IF(Assumptions!H$203=2027,1+Assumptions!$F$191,1))</f>
        <v>2600</v>
      </c>
      <c r="I66" s="67" t="n">
        <f aca="false">I24*(Assumptions!$D$76*IF(Assumptions!I$203=2027,1+Assumptions!$F$191,1))</f>
        <v>2600</v>
      </c>
      <c r="J66" s="67" t="n">
        <f aca="false">J24*(Assumptions!$D$76*IF(Assumptions!J$203=2027,1+Assumptions!$F$191,1))</f>
        <v>2600</v>
      </c>
      <c r="K66" s="67" t="n">
        <f aca="false">K24*(Assumptions!$D$76*IF(Assumptions!K$203=2027,1+Assumptions!$F$191,1))</f>
        <v>2600</v>
      </c>
      <c r="L66" s="67" t="n">
        <f aca="false">L24*(Assumptions!$D$76*IF(Assumptions!L$203=2027,1+Assumptions!$F$191,1))</f>
        <v>2600</v>
      </c>
      <c r="M66" s="67" t="n">
        <f aca="false">M24*(Assumptions!$D$76*IF(Assumptions!M$203=2027,1+Assumptions!$F$191,1))</f>
        <v>2587</v>
      </c>
      <c r="N66" s="67" t="n">
        <f aca="false">N24*(Assumptions!$D$76*IF(Assumptions!N$203=2027,1+Assumptions!$F$191,1))</f>
        <v>2574.065</v>
      </c>
      <c r="O66" s="67" t="n">
        <f aca="false">O24*(Assumptions!$D$76*IF(Assumptions!O$203=2027,1+Assumptions!$F$191,1))</f>
        <v>2574.194675</v>
      </c>
      <c r="P66" s="67" t="n">
        <f aca="false">P24*(Assumptions!$D$76*IF(Assumptions!P$203=2027,1+Assumptions!$F$191,1))</f>
        <v>2574.258701625</v>
      </c>
      <c r="Q66" s="67" t="n">
        <f aca="false">Q24*(Assumptions!$D$76*IF(Assumptions!Q$203=2027,1+Assumptions!$F$191,1))</f>
        <v>2651.48546511038</v>
      </c>
      <c r="R66" s="67" t="n">
        <f aca="false">R24*(Assumptions!$D$76*IF(Assumptions!R$203=2027,1+Assumptions!$F$191,1))</f>
        <v>2651.48514036108</v>
      </c>
      <c r="S66" s="67" t="n">
        <f aca="false">S24*(Assumptions!$D$76*IF(Assumptions!S$203=2027,1+Assumptions!$F$191,1))</f>
        <v>2651.48514697264</v>
      </c>
      <c r="T66" s="67" t="n">
        <f aca="false">T24*(Assumptions!$D$76*IF(Assumptions!T$203=2027,1+Assumptions!$F$191,1))</f>
        <v>2651.48514856333</v>
      </c>
      <c r="U66" s="67" t="n">
        <f aca="false">U24*(Assumptions!$D$76*IF(Assumptions!U$203=2027,1+Assumptions!$F$191,1))</f>
        <v>2651.48514852232</v>
      </c>
      <c r="V66" s="67" t="n">
        <f aca="false">V24*(Assumptions!$D$76*IF(Assumptions!V$203=2027,1+Assumptions!$F$191,1))</f>
        <v>2651.48514851457</v>
      </c>
      <c r="W66" s="67" t="n">
        <f aca="false">W24*(Assumptions!$D$76*IF(Assumptions!W$203=2027,1+Assumptions!$F$191,1))</f>
        <v>2651.48514851482</v>
      </c>
      <c r="X66" s="67" t="n">
        <f aca="false">X24*(Assumptions!$D$76*IF(Assumptions!X$203=2027,1+Assumptions!$F$191,1))</f>
        <v>2651.48514851485</v>
      </c>
      <c r="Y66" s="67" t="n">
        <f aca="false">Y24*(Assumptions!$D$76*IF(Assumptions!Y$203=2027,1+Assumptions!$F$191,1))</f>
        <v>2651.48514851485</v>
      </c>
      <c r="Z66" s="67" t="n">
        <f aca="false">Z24*(Assumptions!$D$76*IF(Assumptions!Z$203=2027,1+Assumptions!$F$191,1))</f>
        <v>2651.48514851485</v>
      </c>
      <c r="AA66" s="67" t="n">
        <f aca="false">AA24*(Assumptions!$D$76*IF(Assumptions!AA$203=2027,1+Assumptions!$F$191,1))</f>
        <v>2651.48514851485</v>
      </c>
      <c r="AB66" s="67" t="n">
        <f aca="false">AB24*(Assumptions!$D$76*IF(Assumptions!AB$203=2027,1+Assumptions!$F$191,1))</f>
        <v>2651.48514851485</v>
      </c>
    </row>
    <row r="67" customFormat="false" ht="15" hidden="false" customHeight="false" outlineLevel="0" collapsed="false">
      <c r="A67" s="27" t="s">
        <v>1137</v>
      </c>
      <c r="B67" s="63" t="s">
        <v>1121</v>
      </c>
      <c r="C67" s="66" t="n">
        <f aca="false">SUM(E67:P67)</f>
        <v>13759.9792819688</v>
      </c>
      <c r="D67" s="66" t="n">
        <f aca="false">SUM(Q67:AB67)</f>
        <v>14073.2674625013</v>
      </c>
      <c r="E67" s="67" t="n">
        <f aca="false">E25*(Assumptions!$D$77*IF(Assumptions!E$203=2027,1+Assumptions!$F$191,1))</f>
        <v>1150</v>
      </c>
      <c r="F67" s="67" t="n">
        <f aca="false">F25*(Assumptions!$D$77*IF(Assumptions!F$203=2027,1+Assumptions!$F$191,1))</f>
        <v>1150</v>
      </c>
      <c r="G67" s="67" t="n">
        <f aca="false">G25*(Assumptions!$D$77*IF(Assumptions!G$203=2027,1+Assumptions!$F$191,1))</f>
        <v>1150</v>
      </c>
      <c r="H67" s="67" t="n">
        <f aca="false">H25*(Assumptions!$D$77*IF(Assumptions!H$203=2027,1+Assumptions!$F$191,1))</f>
        <v>1150</v>
      </c>
      <c r="I67" s="67" t="n">
        <f aca="false">I25*(Assumptions!$D$77*IF(Assumptions!I$203=2027,1+Assumptions!$F$191,1))</f>
        <v>1150</v>
      </c>
      <c r="J67" s="67" t="n">
        <f aca="false">J25*(Assumptions!$D$77*IF(Assumptions!J$203=2027,1+Assumptions!$F$191,1))</f>
        <v>1150</v>
      </c>
      <c r="K67" s="67" t="n">
        <f aca="false">K25*(Assumptions!$D$77*IF(Assumptions!K$203=2027,1+Assumptions!$F$191,1))</f>
        <v>1150</v>
      </c>
      <c r="L67" s="67" t="n">
        <f aca="false">L25*(Assumptions!$D$77*IF(Assumptions!L$203=2027,1+Assumptions!$F$191,1))</f>
        <v>1150</v>
      </c>
      <c r="M67" s="67" t="n">
        <f aca="false">M25*(Assumptions!$D$77*IF(Assumptions!M$203=2027,1+Assumptions!$F$191,1))</f>
        <v>1144.25</v>
      </c>
      <c r="N67" s="67" t="n">
        <f aca="false">N25*(Assumptions!$D$77*IF(Assumptions!N$203=2027,1+Assumptions!$F$191,1))</f>
        <v>1138.52875</v>
      </c>
      <c r="O67" s="67" t="n">
        <f aca="false">O25*(Assumptions!$D$77*IF(Assumptions!O$203=2027,1+Assumptions!$F$191,1))</f>
        <v>1138.58610625</v>
      </c>
      <c r="P67" s="67" t="n">
        <f aca="false">P25*(Assumptions!$D$77*IF(Assumptions!P$203=2027,1+Assumptions!$F$191,1))</f>
        <v>1138.61442571875</v>
      </c>
      <c r="Q67" s="67" t="n">
        <f aca="false">Q25*(Assumptions!$D$77*IF(Assumptions!Q$203=2027,1+Assumptions!$F$191,1))</f>
        <v>1172.77241726036</v>
      </c>
      <c r="R67" s="67" t="n">
        <f aca="false">R25*(Assumptions!$D$77*IF(Assumptions!R$203=2027,1+Assumptions!$F$191,1))</f>
        <v>1172.77227362125</v>
      </c>
      <c r="S67" s="67" t="n">
        <f aca="false">S25*(Assumptions!$D$77*IF(Assumptions!S$203=2027,1+Assumptions!$F$191,1))</f>
        <v>1172.77227654559</v>
      </c>
      <c r="T67" s="67" t="n">
        <f aca="false">T25*(Assumptions!$D$77*IF(Assumptions!T$203=2027,1+Assumptions!$F$191,1))</f>
        <v>1172.77227724917</v>
      </c>
      <c r="U67" s="67" t="n">
        <f aca="false">U25*(Assumptions!$D$77*IF(Assumptions!U$203=2027,1+Assumptions!$F$191,1))</f>
        <v>1172.77227723103</v>
      </c>
      <c r="V67" s="67" t="n">
        <f aca="false">V25*(Assumptions!$D$77*IF(Assumptions!V$203=2027,1+Assumptions!$F$191,1))</f>
        <v>1172.7722772276</v>
      </c>
      <c r="W67" s="67" t="n">
        <f aca="false">W25*(Assumptions!$D$77*IF(Assumptions!W$203=2027,1+Assumptions!$F$191,1))</f>
        <v>1172.77227722771</v>
      </c>
      <c r="X67" s="67" t="n">
        <f aca="false">X25*(Assumptions!$D$77*IF(Assumptions!X$203=2027,1+Assumptions!$F$191,1))</f>
        <v>1172.77227722772</v>
      </c>
      <c r="Y67" s="67" t="n">
        <f aca="false">Y25*(Assumptions!$D$77*IF(Assumptions!Y$203=2027,1+Assumptions!$F$191,1))</f>
        <v>1172.77227722772</v>
      </c>
      <c r="Z67" s="67" t="n">
        <f aca="false">Z25*(Assumptions!$D$77*IF(Assumptions!Z$203=2027,1+Assumptions!$F$191,1))</f>
        <v>1172.77227722772</v>
      </c>
      <c r="AA67" s="67" t="n">
        <f aca="false">AA25*(Assumptions!$D$77*IF(Assumptions!AA$203=2027,1+Assumptions!$F$191,1))</f>
        <v>1172.77227722772</v>
      </c>
      <c r="AB67" s="67" t="n">
        <f aca="false">AB25*(Assumptions!$D$77*IF(Assumptions!AB$203=2027,1+Assumptions!$F$191,1))</f>
        <v>1172.77227722772</v>
      </c>
    </row>
    <row r="68" customFormat="false" ht="15" hidden="false" customHeight="false" outlineLevel="0" collapsed="false">
      <c r="A68" s="27" t="s">
        <v>1138</v>
      </c>
      <c r="B68" s="63" t="s">
        <v>1139</v>
      </c>
      <c r="C68" s="72" t="n">
        <f aca="false">AVERAGE(E68:P68)</f>
        <v>0.0801833333333333</v>
      </c>
      <c r="D68" s="72" t="n">
        <f aca="false">AVERAGE(Q68:AB68)</f>
        <v>0.084584142394822</v>
      </c>
      <c r="E68" s="73" t="n">
        <f aca="false">MAX(0,((Assumptions!$D$61*IF(Assumptions!E$203=2027,1+Assumptions!$F$191,1)))*INDEX(Assumptions!$C$49:$C$57,MATCH((Assumptions!$D$61*IF(Assumptions!E$203=2027,1+Assumptions!$F$191,1)),Assumptions!$A$49:$A$57,1))-INDEX(Assumptions!$D$49:$D$57,MATCH((Assumptions!$D$61*IF(Assumptions!E$203=2027,1+Assumptions!$F$191,1)),Assumptions!$A$49:$A$57,1)))/((Assumptions!$D$61*IF(Assumptions!E$203=2027,1+Assumptions!$F$191,1)))</f>
        <v>0.0801833333333333</v>
      </c>
      <c r="F68" s="73" t="n">
        <f aca="false">MAX(0,((Assumptions!$D$61*IF(Assumptions!F$203=2027,1+Assumptions!$F$191,1)))*INDEX(Assumptions!$C$49:$C$57,MATCH((Assumptions!$D$61*IF(Assumptions!F$203=2027,1+Assumptions!$F$191,1)),Assumptions!$A$49:$A$57,1))-INDEX(Assumptions!$D$49:$D$57,MATCH((Assumptions!$D$61*IF(Assumptions!F$203=2027,1+Assumptions!$F$191,1)),Assumptions!$A$49:$A$57,1)))/((Assumptions!$D$61*IF(Assumptions!F$203=2027,1+Assumptions!$F$191,1)))</f>
        <v>0.0801833333333333</v>
      </c>
      <c r="G68" s="73" t="n">
        <f aca="false">MAX(0,((Assumptions!$D$61*IF(Assumptions!G$203=2027,1+Assumptions!$F$191,1)))*INDEX(Assumptions!$C$49:$C$57,MATCH((Assumptions!$D$61*IF(Assumptions!G$203=2027,1+Assumptions!$F$191,1)),Assumptions!$A$49:$A$57,1))-INDEX(Assumptions!$D$49:$D$57,MATCH((Assumptions!$D$61*IF(Assumptions!G$203=2027,1+Assumptions!$F$191,1)),Assumptions!$A$49:$A$57,1)))/((Assumptions!$D$61*IF(Assumptions!G$203=2027,1+Assumptions!$F$191,1)))</f>
        <v>0.0801833333333333</v>
      </c>
      <c r="H68" s="73" t="n">
        <f aca="false">MAX(0,((Assumptions!$D$61*IF(Assumptions!H$203=2027,1+Assumptions!$F$191,1)))*INDEX(Assumptions!$C$49:$C$57,MATCH((Assumptions!$D$61*IF(Assumptions!H$203=2027,1+Assumptions!$F$191,1)),Assumptions!$A$49:$A$57,1))-INDEX(Assumptions!$D$49:$D$57,MATCH((Assumptions!$D$61*IF(Assumptions!H$203=2027,1+Assumptions!$F$191,1)),Assumptions!$A$49:$A$57,1)))/((Assumptions!$D$61*IF(Assumptions!H$203=2027,1+Assumptions!$F$191,1)))</f>
        <v>0.0801833333333333</v>
      </c>
      <c r="I68" s="73" t="n">
        <f aca="false">MAX(0,((Assumptions!$D$61*IF(Assumptions!I$203=2027,1+Assumptions!$F$191,1)))*INDEX(Assumptions!$C$49:$C$57,MATCH((Assumptions!$D$61*IF(Assumptions!I$203=2027,1+Assumptions!$F$191,1)),Assumptions!$A$49:$A$57,1))-INDEX(Assumptions!$D$49:$D$57,MATCH((Assumptions!$D$61*IF(Assumptions!I$203=2027,1+Assumptions!$F$191,1)),Assumptions!$A$49:$A$57,1)))/((Assumptions!$D$61*IF(Assumptions!I$203=2027,1+Assumptions!$F$191,1)))</f>
        <v>0.0801833333333333</v>
      </c>
      <c r="J68" s="73" t="n">
        <f aca="false">MAX(0,((Assumptions!$D$61*IF(Assumptions!J$203=2027,1+Assumptions!$F$191,1)))*INDEX(Assumptions!$C$49:$C$57,MATCH((Assumptions!$D$61*IF(Assumptions!J$203=2027,1+Assumptions!$F$191,1)),Assumptions!$A$49:$A$57,1))-INDEX(Assumptions!$D$49:$D$57,MATCH((Assumptions!$D$61*IF(Assumptions!J$203=2027,1+Assumptions!$F$191,1)),Assumptions!$A$49:$A$57,1)))/((Assumptions!$D$61*IF(Assumptions!J$203=2027,1+Assumptions!$F$191,1)))</f>
        <v>0.0801833333333333</v>
      </c>
      <c r="K68" s="73" t="n">
        <f aca="false">MAX(0,((Assumptions!$D$61*IF(Assumptions!K$203=2027,1+Assumptions!$F$191,1)))*INDEX(Assumptions!$C$49:$C$57,MATCH((Assumptions!$D$61*IF(Assumptions!K$203=2027,1+Assumptions!$F$191,1)),Assumptions!$A$49:$A$57,1))-INDEX(Assumptions!$D$49:$D$57,MATCH((Assumptions!$D$61*IF(Assumptions!K$203=2027,1+Assumptions!$F$191,1)),Assumptions!$A$49:$A$57,1)))/((Assumptions!$D$61*IF(Assumptions!K$203=2027,1+Assumptions!$F$191,1)))</f>
        <v>0.0801833333333333</v>
      </c>
      <c r="L68" s="73" t="n">
        <f aca="false">MAX(0,((Assumptions!$D$61*IF(Assumptions!L$203=2027,1+Assumptions!$F$191,1)))*INDEX(Assumptions!$C$49:$C$57,MATCH((Assumptions!$D$61*IF(Assumptions!L$203=2027,1+Assumptions!$F$191,1)),Assumptions!$A$49:$A$57,1))-INDEX(Assumptions!$D$49:$D$57,MATCH((Assumptions!$D$61*IF(Assumptions!L$203=2027,1+Assumptions!$F$191,1)),Assumptions!$A$49:$A$57,1)))/((Assumptions!$D$61*IF(Assumptions!L$203=2027,1+Assumptions!$F$191,1)))</f>
        <v>0.0801833333333333</v>
      </c>
      <c r="M68" s="73" t="n">
        <f aca="false">MAX(0,((Assumptions!$D$61*IF(Assumptions!M$203=2027,1+Assumptions!$F$191,1)))*INDEX(Assumptions!$C$49:$C$57,MATCH((Assumptions!$D$61*IF(Assumptions!M$203=2027,1+Assumptions!$F$191,1)),Assumptions!$A$49:$A$57,1))-INDEX(Assumptions!$D$49:$D$57,MATCH((Assumptions!$D$61*IF(Assumptions!M$203=2027,1+Assumptions!$F$191,1)),Assumptions!$A$49:$A$57,1)))/((Assumptions!$D$61*IF(Assumptions!M$203=2027,1+Assumptions!$F$191,1)))</f>
        <v>0.0801833333333333</v>
      </c>
      <c r="N68" s="73" t="n">
        <f aca="false">MAX(0,((Assumptions!$D$61*IF(Assumptions!N$203=2027,1+Assumptions!$F$191,1)))*INDEX(Assumptions!$C$49:$C$57,MATCH((Assumptions!$D$61*IF(Assumptions!N$203=2027,1+Assumptions!$F$191,1)),Assumptions!$A$49:$A$57,1))-INDEX(Assumptions!$D$49:$D$57,MATCH((Assumptions!$D$61*IF(Assumptions!N$203=2027,1+Assumptions!$F$191,1)),Assumptions!$A$49:$A$57,1)))/((Assumptions!$D$61*IF(Assumptions!N$203=2027,1+Assumptions!$F$191,1)))</f>
        <v>0.0801833333333333</v>
      </c>
      <c r="O68" s="73" t="n">
        <f aca="false">MAX(0,((Assumptions!$D$61*IF(Assumptions!O$203=2027,1+Assumptions!$F$191,1)))*INDEX(Assumptions!$C$49:$C$57,MATCH((Assumptions!$D$61*IF(Assumptions!O$203=2027,1+Assumptions!$F$191,1)),Assumptions!$A$49:$A$57,1))-INDEX(Assumptions!$D$49:$D$57,MATCH((Assumptions!$D$61*IF(Assumptions!O$203=2027,1+Assumptions!$F$191,1)),Assumptions!$A$49:$A$57,1)))/((Assumptions!$D$61*IF(Assumptions!O$203=2027,1+Assumptions!$F$191,1)))</f>
        <v>0.0801833333333333</v>
      </c>
      <c r="P68" s="73" t="n">
        <f aca="false">MAX(0,((Assumptions!$D$61*IF(Assumptions!P$203=2027,1+Assumptions!$F$191,1)))*INDEX(Assumptions!$C$49:$C$57,MATCH((Assumptions!$D$61*IF(Assumptions!P$203=2027,1+Assumptions!$F$191,1)),Assumptions!$A$49:$A$57,1))-INDEX(Assumptions!$D$49:$D$57,MATCH((Assumptions!$D$61*IF(Assumptions!P$203=2027,1+Assumptions!$F$191,1)),Assumptions!$A$49:$A$57,1)))/((Assumptions!$D$61*IF(Assumptions!P$203=2027,1+Assumptions!$F$191,1)))</f>
        <v>0.0801833333333333</v>
      </c>
      <c r="Q68" s="73" t="n">
        <f aca="false">MAX(0,((Assumptions!$D$61*IF(Assumptions!Q$203=2027,1+Assumptions!$F$191,1)))*INDEX(Assumptions!$C$49:$C$57,MATCH((Assumptions!$D$61*IF(Assumptions!Q$203=2027,1+Assumptions!$F$191,1)),Assumptions!$A$49:$A$57,1))-INDEX(Assumptions!$D$49:$D$57,MATCH((Assumptions!$D$61*IF(Assumptions!Q$203=2027,1+Assumptions!$F$191,1)),Assumptions!$A$49:$A$57,1)))/((Assumptions!$D$61*IF(Assumptions!Q$203=2027,1+Assumptions!$F$191,1)))</f>
        <v>0.084584142394822</v>
      </c>
      <c r="R68" s="73" t="n">
        <f aca="false">MAX(0,((Assumptions!$D$61*IF(Assumptions!R$203=2027,1+Assumptions!$F$191,1)))*INDEX(Assumptions!$C$49:$C$57,MATCH((Assumptions!$D$61*IF(Assumptions!R$203=2027,1+Assumptions!$F$191,1)),Assumptions!$A$49:$A$57,1))-INDEX(Assumptions!$D$49:$D$57,MATCH((Assumptions!$D$61*IF(Assumptions!R$203=2027,1+Assumptions!$F$191,1)),Assumptions!$A$49:$A$57,1)))/((Assumptions!$D$61*IF(Assumptions!R$203=2027,1+Assumptions!$F$191,1)))</f>
        <v>0.084584142394822</v>
      </c>
      <c r="S68" s="73" t="n">
        <f aca="false">MAX(0,((Assumptions!$D$61*IF(Assumptions!S$203=2027,1+Assumptions!$F$191,1)))*INDEX(Assumptions!$C$49:$C$57,MATCH((Assumptions!$D$61*IF(Assumptions!S$203=2027,1+Assumptions!$F$191,1)),Assumptions!$A$49:$A$57,1))-INDEX(Assumptions!$D$49:$D$57,MATCH((Assumptions!$D$61*IF(Assumptions!S$203=2027,1+Assumptions!$F$191,1)),Assumptions!$A$49:$A$57,1)))/((Assumptions!$D$61*IF(Assumptions!S$203=2027,1+Assumptions!$F$191,1)))</f>
        <v>0.084584142394822</v>
      </c>
      <c r="T68" s="73" t="n">
        <f aca="false">MAX(0,((Assumptions!$D$61*IF(Assumptions!T$203=2027,1+Assumptions!$F$191,1)))*INDEX(Assumptions!$C$49:$C$57,MATCH((Assumptions!$D$61*IF(Assumptions!T$203=2027,1+Assumptions!$F$191,1)),Assumptions!$A$49:$A$57,1))-INDEX(Assumptions!$D$49:$D$57,MATCH((Assumptions!$D$61*IF(Assumptions!T$203=2027,1+Assumptions!$F$191,1)),Assumptions!$A$49:$A$57,1)))/((Assumptions!$D$61*IF(Assumptions!T$203=2027,1+Assumptions!$F$191,1)))</f>
        <v>0.084584142394822</v>
      </c>
      <c r="U68" s="73" t="n">
        <f aca="false">MAX(0,((Assumptions!$D$61*IF(Assumptions!U$203=2027,1+Assumptions!$F$191,1)))*INDEX(Assumptions!$C$49:$C$57,MATCH((Assumptions!$D$61*IF(Assumptions!U$203=2027,1+Assumptions!$F$191,1)),Assumptions!$A$49:$A$57,1))-INDEX(Assumptions!$D$49:$D$57,MATCH((Assumptions!$D$61*IF(Assumptions!U$203=2027,1+Assumptions!$F$191,1)),Assumptions!$A$49:$A$57,1)))/((Assumptions!$D$61*IF(Assumptions!U$203=2027,1+Assumptions!$F$191,1)))</f>
        <v>0.084584142394822</v>
      </c>
      <c r="V68" s="73" t="n">
        <f aca="false">MAX(0,((Assumptions!$D$61*IF(Assumptions!V$203=2027,1+Assumptions!$F$191,1)))*INDEX(Assumptions!$C$49:$C$57,MATCH((Assumptions!$D$61*IF(Assumptions!V$203=2027,1+Assumptions!$F$191,1)),Assumptions!$A$49:$A$57,1))-INDEX(Assumptions!$D$49:$D$57,MATCH((Assumptions!$D$61*IF(Assumptions!V$203=2027,1+Assumptions!$F$191,1)),Assumptions!$A$49:$A$57,1)))/((Assumptions!$D$61*IF(Assumptions!V$203=2027,1+Assumptions!$F$191,1)))</f>
        <v>0.084584142394822</v>
      </c>
      <c r="W68" s="73" t="n">
        <f aca="false">MAX(0,((Assumptions!$D$61*IF(Assumptions!W$203=2027,1+Assumptions!$F$191,1)))*INDEX(Assumptions!$C$49:$C$57,MATCH((Assumptions!$D$61*IF(Assumptions!W$203=2027,1+Assumptions!$F$191,1)),Assumptions!$A$49:$A$57,1))-INDEX(Assumptions!$D$49:$D$57,MATCH((Assumptions!$D$61*IF(Assumptions!W$203=2027,1+Assumptions!$F$191,1)),Assumptions!$A$49:$A$57,1)))/((Assumptions!$D$61*IF(Assumptions!W$203=2027,1+Assumptions!$F$191,1)))</f>
        <v>0.084584142394822</v>
      </c>
      <c r="X68" s="73" t="n">
        <f aca="false">MAX(0,((Assumptions!$D$61*IF(Assumptions!X$203=2027,1+Assumptions!$F$191,1)))*INDEX(Assumptions!$C$49:$C$57,MATCH((Assumptions!$D$61*IF(Assumptions!X$203=2027,1+Assumptions!$F$191,1)),Assumptions!$A$49:$A$57,1))-INDEX(Assumptions!$D$49:$D$57,MATCH((Assumptions!$D$61*IF(Assumptions!X$203=2027,1+Assumptions!$F$191,1)),Assumptions!$A$49:$A$57,1)))/((Assumptions!$D$61*IF(Assumptions!X$203=2027,1+Assumptions!$F$191,1)))</f>
        <v>0.084584142394822</v>
      </c>
      <c r="Y68" s="73" t="n">
        <f aca="false">MAX(0,((Assumptions!$D$61*IF(Assumptions!Y$203=2027,1+Assumptions!$F$191,1)))*INDEX(Assumptions!$C$49:$C$57,MATCH((Assumptions!$D$61*IF(Assumptions!Y$203=2027,1+Assumptions!$F$191,1)),Assumptions!$A$49:$A$57,1))-INDEX(Assumptions!$D$49:$D$57,MATCH((Assumptions!$D$61*IF(Assumptions!Y$203=2027,1+Assumptions!$F$191,1)),Assumptions!$A$49:$A$57,1)))/((Assumptions!$D$61*IF(Assumptions!Y$203=2027,1+Assumptions!$F$191,1)))</f>
        <v>0.084584142394822</v>
      </c>
      <c r="Z68" s="73" t="n">
        <f aca="false">MAX(0,((Assumptions!$D$61*IF(Assumptions!Z$203=2027,1+Assumptions!$F$191,1)))*INDEX(Assumptions!$C$49:$C$57,MATCH((Assumptions!$D$61*IF(Assumptions!Z$203=2027,1+Assumptions!$F$191,1)),Assumptions!$A$49:$A$57,1))-INDEX(Assumptions!$D$49:$D$57,MATCH((Assumptions!$D$61*IF(Assumptions!Z$203=2027,1+Assumptions!$F$191,1)),Assumptions!$A$49:$A$57,1)))/((Assumptions!$D$61*IF(Assumptions!Z$203=2027,1+Assumptions!$F$191,1)))</f>
        <v>0.084584142394822</v>
      </c>
      <c r="AA68" s="73" t="n">
        <f aca="false">MAX(0,((Assumptions!$D$61*IF(Assumptions!AA$203=2027,1+Assumptions!$F$191,1)))*INDEX(Assumptions!$C$49:$C$57,MATCH((Assumptions!$D$61*IF(Assumptions!AA$203=2027,1+Assumptions!$F$191,1)),Assumptions!$A$49:$A$57,1))-INDEX(Assumptions!$D$49:$D$57,MATCH((Assumptions!$D$61*IF(Assumptions!AA$203=2027,1+Assumptions!$F$191,1)),Assumptions!$A$49:$A$57,1)))/((Assumptions!$D$61*IF(Assumptions!AA$203=2027,1+Assumptions!$F$191,1)))</f>
        <v>0.084584142394822</v>
      </c>
      <c r="AB68" s="73" t="n">
        <f aca="false">MAX(0,((Assumptions!$D$61*IF(Assumptions!AB$203=2027,1+Assumptions!$F$191,1)))*INDEX(Assumptions!$C$49:$C$57,MATCH((Assumptions!$D$61*IF(Assumptions!AB$203=2027,1+Assumptions!$F$191,1)),Assumptions!$A$49:$A$57,1))-INDEX(Assumptions!$D$49:$D$57,MATCH((Assumptions!$D$61*IF(Assumptions!AB$203=2027,1+Assumptions!$F$191,1)),Assumptions!$A$49:$A$57,1)))/((Assumptions!$D$61*IF(Assumptions!AB$203=2027,1+Assumptions!$F$191,1)))</f>
        <v>0.084584142394822</v>
      </c>
    </row>
    <row r="69" customFormat="false" ht="15" hidden="false" customHeight="false" outlineLevel="0" collapsed="false">
      <c r="A69" s="27" t="s">
        <v>1140</v>
      </c>
      <c r="B69" s="63" t="s">
        <v>1139</v>
      </c>
      <c r="C69" s="72" t="n">
        <f aca="false">AVERAGE(E69:P69)</f>
        <v>0.123830303030303</v>
      </c>
      <c r="D69" s="72" t="n">
        <f aca="false">AVERAGE(Q69:AB69)</f>
        <v>0.12724301265078</v>
      </c>
      <c r="E69" s="73" t="n">
        <f aca="false">MAX(0,((Assumptions!$D$62*IF(Assumptions!E$203=2027,1+Assumptions!$F$191,1)))*INDEX(Assumptions!$C$49:$C$57,MATCH((Assumptions!$D$62*IF(Assumptions!E$203=2027,1+Assumptions!$F$191,1)),Assumptions!$A$49:$A$57,1))-INDEX(Assumptions!$D$49:$D$57,MATCH((Assumptions!$D$62*IF(Assumptions!E$203=2027,1+Assumptions!$F$191,1)),Assumptions!$A$49:$A$57,1)))/((Assumptions!$D$62*IF(Assumptions!E$203=2027,1+Assumptions!$F$191,1)))</f>
        <v>0.123830303030303</v>
      </c>
      <c r="F69" s="73" t="n">
        <f aca="false">MAX(0,((Assumptions!$D$62*IF(Assumptions!F$203=2027,1+Assumptions!$F$191,1)))*INDEX(Assumptions!$C$49:$C$57,MATCH((Assumptions!$D$62*IF(Assumptions!F$203=2027,1+Assumptions!$F$191,1)),Assumptions!$A$49:$A$57,1))-INDEX(Assumptions!$D$49:$D$57,MATCH((Assumptions!$D$62*IF(Assumptions!F$203=2027,1+Assumptions!$F$191,1)),Assumptions!$A$49:$A$57,1)))/((Assumptions!$D$62*IF(Assumptions!F$203=2027,1+Assumptions!$F$191,1)))</f>
        <v>0.123830303030303</v>
      </c>
      <c r="G69" s="73" t="n">
        <f aca="false">MAX(0,((Assumptions!$D$62*IF(Assumptions!G$203=2027,1+Assumptions!$F$191,1)))*INDEX(Assumptions!$C$49:$C$57,MATCH((Assumptions!$D$62*IF(Assumptions!G$203=2027,1+Assumptions!$F$191,1)),Assumptions!$A$49:$A$57,1))-INDEX(Assumptions!$D$49:$D$57,MATCH((Assumptions!$D$62*IF(Assumptions!G$203=2027,1+Assumptions!$F$191,1)),Assumptions!$A$49:$A$57,1)))/((Assumptions!$D$62*IF(Assumptions!G$203=2027,1+Assumptions!$F$191,1)))</f>
        <v>0.123830303030303</v>
      </c>
      <c r="H69" s="73" t="n">
        <f aca="false">MAX(0,((Assumptions!$D$62*IF(Assumptions!H$203=2027,1+Assumptions!$F$191,1)))*INDEX(Assumptions!$C$49:$C$57,MATCH((Assumptions!$D$62*IF(Assumptions!H$203=2027,1+Assumptions!$F$191,1)),Assumptions!$A$49:$A$57,1))-INDEX(Assumptions!$D$49:$D$57,MATCH((Assumptions!$D$62*IF(Assumptions!H$203=2027,1+Assumptions!$F$191,1)),Assumptions!$A$49:$A$57,1)))/((Assumptions!$D$62*IF(Assumptions!H$203=2027,1+Assumptions!$F$191,1)))</f>
        <v>0.123830303030303</v>
      </c>
      <c r="I69" s="73" t="n">
        <f aca="false">MAX(0,((Assumptions!$D$62*IF(Assumptions!I$203=2027,1+Assumptions!$F$191,1)))*INDEX(Assumptions!$C$49:$C$57,MATCH((Assumptions!$D$62*IF(Assumptions!I$203=2027,1+Assumptions!$F$191,1)),Assumptions!$A$49:$A$57,1))-INDEX(Assumptions!$D$49:$D$57,MATCH((Assumptions!$D$62*IF(Assumptions!I$203=2027,1+Assumptions!$F$191,1)),Assumptions!$A$49:$A$57,1)))/((Assumptions!$D$62*IF(Assumptions!I$203=2027,1+Assumptions!$F$191,1)))</f>
        <v>0.123830303030303</v>
      </c>
      <c r="J69" s="73" t="n">
        <f aca="false">MAX(0,((Assumptions!$D$62*IF(Assumptions!J$203=2027,1+Assumptions!$F$191,1)))*INDEX(Assumptions!$C$49:$C$57,MATCH((Assumptions!$D$62*IF(Assumptions!J$203=2027,1+Assumptions!$F$191,1)),Assumptions!$A$49:$A$57,1))-INDEX(Assumptions!$D$49:$D$57,MATCH((Assumptions!$D$62*IF(Assumptions!J$203=2027,1+Assumptions!$F$191,1)),Assumptions!$A$49:$A$57,1)))/((Assumptions!$D$62*IF(Assumptions!J$203=2027,1+Assumptions!$F$191,1)))</f>
        <v>0.123830303030303</v>
      </c>
      <c r="K69" s="73" t="n">
        <f aca="false">MAX(0,((Assumptions!$D$62*IF(Assumptions!K$203=2027,1+Assumptions!$F$191,1)))*INDEX(Assumptions!$C$49:$C$57,MATCH((Assumptions!$D$62*IF(Assumptions!K$203=2027,1+Assumptions!$F$191,1)),Assumptions!$A$49:$A$57,1))-INDEX(Assumptions!$D$49:$D$57,MATCH((Assumptions!$D$62*IF(Assumptions!K$203=2027,1+Assumptions!$F$191,1)),Assumptions!$A$49:$A$57,1)))/((Assumptions!$D$62*IF(Assumptions!K$203=2027,1+Assumptions!$F$191,1)))</f>
        <v>0.123830303030303</v>
      </c>
      <c r="L69" s="73" t="n">
        <f aca="false">MAX(0,((Assumptions!$D$62*IF(Assumptions!L$203=2027,1+Assumptions!$F$191,1)))*INDEX(Assumptions!$C$49:$C$57,MATCH((Assumptions!$D$62*IF(Assumptions!L$203=2027,1+Assumptions!$F$191,1)),Assumptions!$A$49:$A$57,1))-INDEX(Assumptions!$D$49:$D$57,MATCH((Assumptions!$D$62*IF(Assumptions!L$203=2027,1+Assumptions!$F$191,1)),Assumptions!$A$49:$A$57,1)))/((Assumptions!$D$62*IF(Assumptions!L$203=2027,1+Assumptions!$F$191,1)))</f>
        <v>0.123830303030303</v>
      </c>
      <c r="M69" s="73" t="n">
        <f aca="false">MAX(0,((Assumptions!$D$62*IF(Assumptions!M$203=2027,1+Assumptions!$F$191,1)))*INDEX(Assumptions!$C$49:$C$57,MATCH((Assumptions!$D$62*IF(Assumptions!M$203=2027,1+Assumptions!$F$191,1)),Assumptions!$A$49:$A$57,1))-INDEX(Assumptions!$D$49:$D$57,MATCH((Assumptions!$D$62*IF(Assumptions!M$203=2027,1+Assumptions!$F$191,1)),Assumptions!$A$49:$A$57,1)))/((Assumptions!$D$62*IF(Assumptions!M$203=2027,1+Assumptions!$F$191,1)))</f>
        <v>0.123830303030303</v>
      </c>
      <c r="N69" s="73" t="n">
        <f aca="false">MAX(0,((Assumptions!$D$62*IF(Assumptions!N$203=2027,1+Assumptions!$F$191,1)))*INDEX(Assumptions!$C$49:$C$57,MATCH((Assumptions!$D$62*IF(Assumptions!N$203=2027,1+Assumptions!$F$191,1)),Assumptions!$A$49:$A$57,1))-INDEX(Assumptions!$D$49:$D$57,MATCH((Assumptions!$D$62*IF(Assumptions!N$203=2027,1+Assumptions!$F$191,1)),Assumptions!$A$49:$A$57,1)))/((Assumptions!$D$62*IF(Assumptions!N$203=2027,1+Assumptions!$F$191,1)))</f>
        <v>0.123830303030303</v>
      </c>
      <c r="O69" s="73" t="n">
        <f aca="false">MAX(0,((Assumptions!$D$62*IF(Assumptions!O$203=2027,1+Assumptions!$F$191,1)))*INDEX(Assumptions!$C$49:$C$57,MATCH((Assumptions!$D$62*IF(Assumptions!O$203=2027,1+Assumptions!$F$191,1)),Assumptions!$A$49:$A$57,1))-INDEX(Assumptions!$D$49:$D$57,MATCH((Assumptions!$D$62*IF(Assumptions!O$203=2027,1+Assumptions!$F$191,1)),Assumptions!$A$49:$A$57,1)))/((Assumptions!$D$62*IF(Assumptions!O$203=2027,1+Assumptions!$F$191,1)))</f>
        <v>0.123830303030303</v>
      </c>
      <c r="P69" s="73" t="n">
        <f aca="false">MAX(0,((Assumptions!$D$62*IF(Assumptions!P$203=2027,1+Assumptions!$F$191,1)))*INDEX(Assumptions!$C$49:$C$57,MATCH((Assumptions!$D$62*IF(Assumptions!P$203=2027,1+Assumptions!$F$191,1)),Assumptions!$A$49:$A$57,1))-INDEX(Assumptions!$D$49:$D$57,MATCH((Assumptions!$D$62*IF(Assumptions!P$203=2027,1+Assumptions!$F$191,1)),Assumptions!$A$49:$A$57,1)))/((Assumptions!$D$62*IF(Assumptions!P$203=2027,1+Assumptions!$F$191,1)))</f>
        <v>0.123830303030303</v>
      </c>
      <c r="Q69" s="73" t="n">
        <f aca="false">MAX(0,((Assumptions!$D$62*IF(Assumptions!Q$203=2027,1+Assumptions!$F$191,1)))*INDEX(Assumptions!$C$49:$C$57,MATCH((Assumptions!$D$62*IF(Assumptions!Q$203=2027,1+Assumptions!$F$191,1)),Assumptions!$A$49:$A$57,1))-INDEX(Assumptions!$D$49:$D$57,MATCH((Assumptions!$D$62*IF(Assumptions!Q$203=2027,1+Assumptions!$F$191,1)),Assumptions!$A$49:$A$57,1)))/((Assumptions!$D$62*IF(Assumptions!Q$203=2027,1+Assumptions!$F$191,1)))</f>
        <v>0.12724301265078</v>
      </c>
      <c r="R69" s="73" t="n">
        <f aca="false">MAX(0,((Assumptions!$D$62*IF(Assumptions!R$203=2027,1+Assumptions!$F$191,1)))*INDEX(Assumptions!$C$49:$C$57,MATCH((Assumptions!$D$62*IF(Assumptions!R$203=2027,1+Assumptions!$F$191,1)),Assumptions!$A$49:$A$57,1))-INDEX(Assumptions!$D$49:$D$57,MATCH((Assumptions!$D$62*IF(Assumptions!R$203=2027,1+Assumptions!$F$191,1)),Assumptions!$A$49:$A$57,1)))/((Assumptions!$D$62*IF(Assumptions!R$203=2027,1+Assumptions!$F$191,1)))</f>
        <v>0.12724301265078</v>
      </c>
      <c r="S69" s="73" t="n">
        <f aca="false">MAX(0,((Assumptions!$D$62*IF(Assumptions!S$203=2027,1+Assumptions!$F$191,1)))*INDEX(Assumptions!$C$49:$C$57,MATCH((Assumptions!$D$62*IF(Assumptions!S$203=2027,1+Assumptions!$F$191,1)),Assumptions!$A$49:$A$57,1))-INDEX(Assumptions!$D$49:$D$57,MATCH((Assumptions!$D$62*IF(Assumptions!S$203=2027,1+Assumptions!$F$191,1)),Assumptions!$A$49:$A$57,1)))/((Assumptions!$D$62*IF(Assumptions!S$203=2027,1+Assumptions!$F$191,1)))</f>
        <v>0.12724301265078</v>
      </c>
      <c r="T69" s="73" t="n">
        <f aca="false">MAX(0,((Assumptions!$D$62*IF(Assumptions!T$203=2027,1+Assumptions!$F$191,1)))*INDEX(Assumptions!$C$49:$C$57,MATCH((Assumptions!$D$62*IF(Assumptions!T$203=2027,1+Assumptions!$F$191,1)),Assumptions!$A$49:$A$57,1))-INDEX(Assumptions!$D$49:$D$57,MATCH((Assumptions!$D$62*IF(Assumptions!T$203=2027,1+Assumptions!$F$191,1)),Assumptions!$A$49:$A$57,1)))/((Assumptions!$D$62*IF(Assumptions!T$203=2027,1+Assumptions!$F$191,1)))</f>
        <v>0.12724301265078</v>
      </c>
      <c r="U69" s="73" t="n">
        <f aca="false">MAX(0,((Assumptions!$D$62*IF(Assumptions!U$203=2027,1+Assumptions!$F$191,1)))*INDEX(Assumptions!$C$49:$C$57,MATCH((Assumptions!$D$62*IF(Assumptions!U$203=2027,1+Assumptions!$F$191,1)),Assumptions!$A$49:$A$57,1))-INDEX(Assumptions!$D$49:$D$57,MATCH((Assumptions!$D$62*IF(Assumptions!U$203=2027,1+Assumptions!$F$191,1)),Assumptions!$A$49:$A$57,1)))/((Assumptions!$D$62*IF(Assumptions!U$203=2027,1+Assumptions!$F$191,1)))</f>
        <v>0.12724301265078</v>
      </c>
      <c r="V69" s="73" t="n">
        <f aca="false">MAX(0,((Assumptions!$D$62*IF(Assumptions!V$203=2027,1+Assumptions!$F$191,1)))*INDEX(Assumptions!$C$49:$C$57,MATCH((Assumptions!$D$62*IF(Assumptions!V$203=2027,1+Assumptions!$F$191,1)),Assumptions!$A$49:$A$57,1))-INDEX(Assumptions!$D$49:$D$57,MATCH((Assumptions!$D$62*IF(Assumptions!V$203=2027,1+Assumptions!$F$191,1)),Assumptions!$A$49:$A$57,1)))/((Assumptions!$D$62*IF(Assumptions!V$203=2027,1+Assumptions!$F$191,1)))</f>
        <v>0.12724301265078</v>
      </c>
      <c r="W69" s="73" t="n">
        <f aca="false">MAX(0,((Assumptions!$D$62*IF(Assumptions!W$203=2027,1+Assumptions!$F$191,1)))*INDEX(Assumptions!$C$49:$C$57,MATCH((Assumptions!$D$62*IF(Assumptions!W$203=2027,1+Assumptions!$F$191,1)),Assumptions!$A$49:$A$57,1))-INDEX(Assumptions!$D$49:$D$57,MATCH((Assumptions!$D$62*IF(Assumptions!W$203=2027,1+Assumptions!$F$191,1)),Assumptions!$A$49:$A$57,1)))/((Assumptions!$D$62*IF(Assumptions!W$203=2027,1+Assumptions!$F$191,1)))</f>
        <v>0.12724301265078</v>
      </c>
      <c r="X69" s="73" t="n">
        <f aca="false">MAX(0,((Assumptions!$D$62*IF(Assumptions!X$203=2027,1+Assumptions!$F$191,1)))*INDEX(Assumptions!$C$49:$C$57,MATCH((Assumptions!$D$62*IF(Assumptions!X$203=2027,1+Assumptions!$F$191,1)),Assumptions!$A$49:$A$57,1))-INDEX(Assumptions!$D$49:$D$57,MATCH((Assumptions!$D$62*IF(Assumptions!X$203=2027,1+Assumptions!$F$191,1)),Assumptions!$A$49:$A$57,1)))/((Assumptions!$D$62*IF(Assumptions!X$203=2027,1+Assumptions!$F$191,1)))</f>
        <v>0.12724301265078</v>
      </c>
      <c r="Y69" s="73" t="n">
        <f aca="false">MAX(0,((Assumptions!$D$62*IF(Assumptions!Y$203=2027,1+Assumptions!$F$191,1)))*INDEX(Assumptions!$C$49:$C$57,MATCH((Assumptions!$D$62*IF(Assumptions!Y$203=2027,1+Assumptions!$F$191,1)),Assumptions!$A$49:$A$57,1))-INDEX(Assumptions!$D$49:$D$57,MATCH((Assumptions!$D$62*IF(Assumptions!Y$203=2027,1+Assumptions!$F$191,1)),Assumptions!$A$49:$A$57,1)))/((Assumptions!$D$62*IF(Assumptions!Y$203=2027,1+Assumptions!$F$191,1)))</f>
        <v>0.12724301265078</v>
      </c>
      <c r="Z69" s="73" t="n">
        <f aca="false">MAX(0,((Assumptions!$D$62*IF(Assumptions!Z$203=2027,1+Assumptions!$F$191,1)))*INDEX(Assumptions!$C$49:$C$57,MATCH((Assumptions!$D$62*IF(Assumptions!Z$203=2027,1+Assumptions!$F$191,1)),Assumptions!$A$49:$A$57,1))-INDEX(Assumptions!$D$49:$D$57,MATCH((Assumptions!$D$62*IF(Assumptions!Z$203=2027,1+Assumptions!$F$191,1)),Assumptions!$A$49:$A$57,1)))/((Assumptions!$D$62*IF(Assumptions!Z$203=2027,1+Assumptions!$F$191,1)))</f>
        <v>0.12724301265078</v>
      </c>
      <c r="AA69" s="73" t="n">
        <f aca="false">MAX(0,((Assumptions!$D$62*IF(Assumptions!AA$203=2027,1+Assumptions!$F$191,1)))*INDEX(Assumptions!$C$49:$C$57,MATCH((Assumptions!$D$62*IF(Assumptions!AA$203=2027,1+Assumptions!$F$191,1)),Assumptions!$A$49:$A$57,1))-INDEX(Assumptions!$D$49:$D$57,MATCH((Assumptions!$D$62*IF(Assumptions!AA$203=2027,1+Assumptions!$F$191,1)),Assumptions!$A$49:$A$57,1)))/((Assumptions!$D$62*IF(Assumptions!AA$203=2027,1+Assumptions!$F$191,1)))</f>
        <v>0.12724301265078</v>
      </c>
      <c r="AB69" s="73" t="n">
        <f aca="false">MAX(0,((Assumptions!$D$62*IF(Assumptions!AB$203=2027,1+Assumptions!$F$191,1)))*INDEX(Assumptions!$C$49:$C$57,MATCH((Assumptions!$D$62*IF(Assumptions!AB$203=2027,1+Assumptions!$F$191,1)),Assumptions!$A$49:$A$57,1))-INDEX(Assumptions!$D$49:$D$57,MATCH((Assumptions!$D$62*IF(Assumptions!AB$203=2027,1+Assumptions!$F$191,1)),Assumptions!$A$49:$A$57,1)))/((Assumptions!$D$62*IF(Assumptions!AB$203=2027,1+Assumptions!$F$191,1)))</f>
        <v>0.12724301265078</v>
      </c>
    </row>
    <row r="70" customFormat="false" ht="15" hidden="false" customHeight="false" outlineLevel="0" collapsed="false">
      <c r="A70" s="27" t="s">
        <v>1141</v>
      </c>
      <c r="B70" s="63" t="s">
        <v>1139</v>
      </c>
      <c r="C70" s="72" t="n">
        <f aca="false">AVERAGE(E70:P70)</f>
        <v>0.17828085106383</v>
      </c>
      <c r="D70" s="72" t="n">
        <f aca="false">AVERAGE(Q70:AB70)</f>
        <v>0.183253253460029</v>
      </c>
      <c r="E70" s="73" t="n">
        <f aca="false">MAX(0,((Assumptions!$D$63*IF(Assumptions!E$203=2027,1+Assumptions!$F$191,1)))*INDEX(Assumptions!$C$49:$C$57,MATCH((Assumptions!$D$63*IF(Assumptions!E$203=2027,1+Assumptions!$F$191,1)),Assumptions!$A$49:$A$57,1))-INDEX(Assumptions!$D$49:$D$57,MATCH((Assumptions!$D$63*IF(Assumptions!E$203=2027,1+Assumptions!$F$191,1)),Assumptions!$A$49:$A$57,1)))/((Assumptions!$D$63*IF(Assumptions!E$203=2027,1+Assumptions!$F$191,1)))</f>
        <v>0.17828085106383</v>
      </c>
      <c r="F70" s="73" t="n">
        <f aca="false">MAX(0,((Assumptions!$D$63*IF(Assumptions!F$203=2027,1+Assumptions!$F$191,1)))*INDEX(Assumptions!$C$49:$C$57,MATCH((Assumptions!$D$63*IF(Assumptions!F$203=2027,1+Assumptions!$F$191,1)),Assumptions!$A$49:$A$57,1))-INDEX(Assumptions!$D$49:$D$57,MATCH((Assumptions!$D$63*IF(Assumptions!F$203=2027,1+Assumptions!$F$191,1)),Assumptions!$A$49:$A$57,1)))/((Assumptions!$D$63*IF(Assumptions!F$203=2027,1+Assumptions!$F$191,1)))</f>
        <v>0.17828085106383</v>
      </c>
      <c r="G70" s="73" t="n">
        <f aca="false">MAX(0,((Assumptions!$D$63*IF(Assumptions!G$203=2027,1+Assumptions!$F$191,1)))*INDEX(Assumptions!$C$49:$C$57,MATCH((Assumptions!$D$63*IF(Assumptions!G$203=2027,1+Assumptions!$F$191,1)),Assumptions!$A$49:$A$57,1))-INDEX(Assumptions!$D$49:$D$57,MATCH((Assumptions!$D$63*IF(Assumptions!G$203=2027,1+Assumptions!$F$191,1)),Assumptions!$A$49:$A$57,1)))/((Assumptions!$D$63*IF(Assumptions!G$203=2027,1+Assumptions!$F$191,1)))</f>
        <v>0.17828085106383</v>
      </c>
      <c r="H70" s="73" t="n">
        <f aca="false">MAX(0,((Assumptions!$D$63*IF(Assumptions!H$203=2027,1+Assumptions!$F$191,1)))*INDEX(Assumptions!$C$49:$C$57,MATCH((Assumptions!$D$63*IF(Assumptions!H$203=2027,1+Assumptions!$F$191,1)),Assumptions!$A$49:$A$57,1))-INDEX(Assumptions!$D$49:$D$57,MATCH((Assumptions!$D$63*IF(Assumptions!H$203=2027,1+Assumptions!$F$191,1)),Assumptions!$A$49:$A$57,1)))/((Assumptions!$D$63*IF(Assumptions!H$203=2027,1+Assumptions!$F$191,1)))</f>
        <v>0.17828085106383</v>
      </c>
      <c r="I70" s="73" t="n">
        <f aca="false">MAX(0,((Assumptions!$D$63*IF(Assumptions!I$203=2027,1+Assumptions!$F$191,1)))*INDEX(Assumptions!$C$49:$C$57,MATCH((Assumptions!$D$63*IF(Assumptions!I$203=2027,1+Assumptions!$F$191,1)),Assumptions!$A$49:$A$57,1))-INDEX(Assumptions!$D$49:$D$57,MATCH((Assumptions!$D$63*IF(Assumptions!I$203=2027,1+Assumptions!$F$191,1)),Assumptions!$A$49:$A$57,1)))/((Assumptions!$D$63*IF(Assumptions!I$203=2027,1+Assumptions!$F$191,1)))</f>
        <v>0.17828085106383</v>
      </c>
      <c r="J70" s="73" t="n">
        <f aca="false">MAX(0,((Assumptions!$D$63*IF(Assumptions!J$203=2027,1+Assumptions!$F$191,1)))*INDEX(Assumptions!$C$49:$C$57,MATCH((Assumptions!$D$63*IF(Assumptions!J$203=2027,1+Assumptions!$F$191,1)),Assumptions!$A$49:$A$57,1))-INDEX(Assumptions!$D$49:$D$57,MATCH((Assumptions!$D$63*IF(Assumptions!J$203=2027,1+Assumptions!$F$191,1)),Assumptions!$A$49:$A$57,1)))/((Assumptions!$D$63*IF(Assumptions!J$203=2027,1+Assumptions!$F$191,1)))</f>
        <v>0.17828085106383</v>
      </c>
      <c r="K70" s="73" t="n">
        <f aca="false">MAX(0,((Assumptions!$D$63*IF(Assumptions!K$203=2027,1+Assumptions!$F$191,1)))*INDEX(Assumptions!$C$49:$C$57,MATCH((Assumptions!$D$63*IF(Assumptions!K$203=2027,1+Assumptions!$F$191,1)),Assumptions!$A$49:$A$57,1))-INDEX(Assumptions!$D$49:$D$57,MATCH((Assumptions!$D$63*IF(Assumptions!K$203=2027,1+Assumptions!$F$191,1)),Assumptions!$A$49:$A$57,1)))/((Assumptions!$D$63*IF(Assumptions!K$203=2027,1+Assumptions!$F$191,1)))</f>
        <v>0.17828085106383</v>
      </c>
      <c r="L70" s="73" t="n">
        <f aca="false">MAX(0,((Assumptions!$D$63*IF(Assumptions!L$203=2027,1+Assumptions!$F$191,1)))*INDEX(Assumptions!$C$49:$C$57,MATCH((Assumptions!$D$63*IF(Assumptions!L$203=2027,1+Assumptions!$F$191,1)),Assumptions!$A$49:$A$57,1))-INDEX(Assumptions!$D$49:$D$57,MATCH((Assumptions!$D$63*IF(Assumptions!L$203=2027,1+Assumptions!$F$191,1)),Assumptions!$A$49:$A$57,1)))/((Assumptions!$D$63*IF(Assumptions!L$203=2027,1+Assumptions!$F$191,1)))</f>
        <v>0.17828085106383</v>
      </c>
      <c r="M70" s="73" t="n">
        <f aca="false">MAX(0,((Assumptions!$D$63*IF(Assumptions!M$203=2027,1+Assumptions!$F$191,1)))*INDEX(Assumptions!$C$49:$C$57,MATCH((Assumptions!$D$63*IF(Assumptions!M$203=2027,1+Assumptions!$F$191,1)),Assumptions!$A$49:$A$57,1))-INDEX(Assumptions!$D$49:$D$57,MATCH((Assumptions!$D$63*IF(Assumptions!M$203=2027,1+Assumptions!$F$191,1)),Assumptions!$A$49:$A$57,1)))/((Assumptions!$D$63*IF(Assumptions!M$203=2027,1+Assumptions!$F$191,1)))</f>
        <v>0.17828085106383</v>
      </c>
      <c r="N70" s="73" t="n">
        <f aca="false">MAX(0,((Assumptions!$D$63*IF(Assumptions!N$203=2027,1+Assumptions!$F$191,1)))*INDEX(Assumptions!$C$49:$C$57,MATCH((Assumptions!$D$63*IF(Assumptions!N$203=2027,1+Assumptions!$F$191,1)),Assumptions!$A$49:$A$57,1))-INDEX(Assumptions!$D$49:$D$57,MATCH((Assumptions!$D$63*IF(Assumptions!N$203=2027,1+Assumptions!$F$191,1)),Assumptions!$A$49:$A$57,1)))/((Assumptions!$D$63*IF(Assumptions!N$203=2027,1+Assumptions!$F$191,1)))</f>
        <v>0.17828085106383</v>
      </c>
      <c r="O70" s="73" t="n">
        <f aca="false">MAX(0,((Assumptions!$D$63*IF(Assumptions!O$203=2027,1+Assumptions!$F$191,1)))*INDEX(Assumptions!$C$49:$C$57,MATCH((Assumptions!$D$63*IF(Assumptions!O$203=2027,1+Assumptions!$F$191,1)),Assumptions!$A$49:$A$57,1))-INDEX(Assumptions!$D$49:$D$57,MATCH((Assumptions!$D$63*IF(Assumptions!O$203=2027,1+Assumptions!$F$191,1)),Assumptions!$A$49:$A$57,1)))/((Assumptions!$D$63*IF(Assumptions!O$203=2027,1+Assumptions!$F$191,1)))</f>
        <v>0.17828085106383</v>
      </c>
      <c r="P70" s="73" t="n">
        <f aca="false">MAX(0,((Assumptions!$D$63*IF(Assumptions!P$203=2027,1+Assumptions!$F$191,1)))*INDEX(Assumptions!$C$49:$C$57,MATCH((Assumptions!$D$63*IF(Assumptions!P$203=2027,1+Assumptions!$F$191,1)),Assumptions!$A$49:$A$57,1))-INDEX(Assumptions!$D$49:$D$57,MATCH((Assumptions!$D$63*IF(Assumptions!P$203=2027,1+Assumptions!$F$191,1)),Assumptions!$A$49:$A$57,1)))/((Assumptions!$D$63*IF(Assumptions!P$203=2027,1+Assumptions!$F$191,1)))</f>
        <v>0.17828085106383</v>
      </c>
      <c r="Q70" s="73" t="n">
        <f aca="false">MAX(0,((Assumptions!$D$63*IF(Assumptions!Q$203=2027,1+Assumptions!$F$191,1)))*INDEX(Assumptions!$C$49:$C$57,MATCH((Assumptions!$D$63*IF(Assumptions!Q$203=2027,1+Assumptions!$F$191,1)),Assumptions!$A$49:$A$57,1))-INDEX(Assumptions!$D$49:$D$57,MATCH((Assumptions!$D$63*IF(Assumptions!Q$203=2027,1+Assumptions!$F$191,1)),Assumptions!$A$49:$A$57,1)))/((Assumptions!$D$63*IF(Assumptions!Q$203=2027,1+Assumptions!$F$191,1)))</f>
        <v>0.183253253460029</v>
      </c>
      <c r="R70" s="73" t="n">
        <f aca="false">MAX(0,((Assumptions!$D$63*IF(Assumptions!R$203=2027,1+Assumptions!$F$191,1)))*INDEX(Assumptions!$C$49:$C$57,MATCH((Assumptions!$D$63*IF(Assumptions!R$203=2027,1+Assumptions!$F$191,1)),Assumptions!$A$49:$A$57,1))-INDEX(Assumptions!$D$49:$D$57,MATCH((Assumptions!$D$63*IF(Assumptions!R$203=2027,1+Assumptions!$F$191,1)),Assumptions!$A$49:$A$57,1)))/((Assumptions!$D$63*IF(Assumptions!R$203=2027,1+Assumptions!$F$191,1)))</f>
        <v>0.183253253460029</v>
      </c>
      <c r="S70" s="73" t="n">
        <f aca="false">MAX(0,((Assumptions!$D$63*IF(Assumptions!S$203=2027,1+Assumptions!$F$191,1)))*INDEX(Assumptions!$C$49:$C$57,MATCH((Assumptions!$D$63*IF(Assumptions!S$203=2027,1+Assumptions!$F$191,1)),Assumptions!$A$49:$A$57,1))-INDEX(Assumptions!$D$49:$D$57,MATCH((Assumptions!$D$63*IF(Assumptions!S$203=2027,1+Assumptions!$F$191,1)),Assumptions!$A$49:$A$57,1)))/((Assumptions!$D$63*IF(Assumptions!S$203=2027,1+Assumptions!$F$191,1)))</f>
        <v>0.183253253460029</v>
      </c>
      <c r="T70" s="73" t="n">
        <f aca="false">MAX(0,((Assumptions!$D$63*IF(Assumptions!T$203=2027,1+Assumptions!$F$191,1)))*INDEX(Assumptions!$C$49:$C$57,MATCH((Assumptions!$D$63*IF(Assumptions!T$203=2027,1+Assumptions!$F$191,1)),Assumptions!$A$49:$A$57,1))-INDEX(Assumptions!$D$49:$D$57,MATCH((Assumptions!$D$63*IF(Assumptions!T$203=2027,1+Assumptions!$F$191,1)),Assumptions!$A$49:$A$57,1)))/((Assumptions!$D$63*IF(Assumptions!T$203=2027,1+Assumptions!$F$191,1)))</f>
        <v>0.183253253460029</v>
      </c>
      <c r="U70" s="73" t="n">
        <f aca="false">MAX(0,((Assumptions!$D$63*IF(Assumptions!U$203=2027,1+Assumptions!$F$191,1)))*INDEX(Assumptions!$C$49:$C$57,MATCH((Assumptions!$D$63*IF(Assumptions!U$203=2027,1+Assumptions!$F$191,1)),Assumptions!$A$49:$A$57,1))-INDEX(Assumptions!$D$49:$D$57,MATCH((Assumptions!$D$63*IF(Assumptions!U$203=2027,1+Assumptions!$F$191,1)),Assumptions!$A$49:$A$57,1)))/((Assumptions!$D$63*IF(Assumptions!U$203=2027,1+Assumptions!$F$191,1)))</f>
        <v>0.183253253460029</v>
      </c>
      <c r="V70" s="73" t="n">
        <f aca="false">MAX(0,((Assumptions!$D$63*IF(Assumptions!V$203=2027,1+Assumptions!$F$191,1)))*INDEX(Assumptions!$C$49:$C$57,MATCH((Assumptions!$D$63*IF(Assumptions!V$203=2027,1+Assumptions!$F$191,1)),Assumptions!$A$49:$A$57,1))-INDEX(Assumptions!$D$49:$D$57,MATCH((Assumptions!$D$63*IF(Assumptions!V$203=2027,1+Assumptions!$F$191,1)),Assumptions!$A$49:$A$57,1)))/((Assumptions!$D$63*IF(Assumptions!V$203=2027,1+Assumptions!$F$191,1)))</f>
        <v>0.183253253460029</v>
      </c>
      <c r="W70" s="73" t="n">
        <f aca="false">MAX(0,((Assumptions!$D$63*IF(Assumptions!W$203=2027,1+Assumptions!$F$191,1)))*INDEX(Assumptions!$C$49:$C$57,MATCH((Assumptions!$D$63*IF(Assumptions!W$203=2027,1+Assumptions!$F$191,1)),Assumptions!$A$49:$A$57,1))-INDEX(Assumptions!$D$49:$D$57,MATCH((Assumptions!$D$63*IF(Assumptions!W$203=2027,1+Assumptions!$F$191,1)),Assumptions!$A$49:$A$57,1)))/((Assumptions!$D$63*IF(Assumptions!W$203=2027,1+Assumptions!$F$191,1)))</f>
        <v>0.183253253460029</v>
      </c>
      <c r="X70" s="73" t="n">
        <f aca="false">MAX(0,((Assumptions!$D$63*IF(Assumptions!X$203=2027,1+Assumptions!$F$191,1)))*INDEX(Assumptions!$C$49:$C$57,MATCH((Assumptions!$D$63*IF(Assumptions!X$203=2027,1+Assumptions!$F$191,1)),Assumptions!$A$49:$A$57,1))-INDEX(Assumptions!$D$49:$D$57,MATCH((Assumptions!$D$63*IF(Assumptions!X$203=2027,1+Assumptions!$F$191,1)),Assumptions!$A$49:$A$57,1)))/((Assumptions!$D$63*IF(Assumptions!X$203=2027,1+Assumptions!$F$191,1)))</f>
        <v>0.183253253460029</v>
      </c>
      <c r="Y70" s="73" t="n">
        <f aca="false">MAX(0,((Assumptions!$D$63*IF(Assumptions!Y$203=2027,1+Assumptions!$F$191,1)))*INDEX(Assumptions!$C$49:$C$57,MATCH((Assumptions!$D$63*IF(Assumptions!Y$203=2027,1+Assumptions!$F$191,1)),Assumptions!$A$49:$A$57,1))-INDEX(Assumptions!$D$49:$D$57,MATCH((Assumptions!$D$63*IF(Assumptions!Y$203=2027,1+Assumptions!$F$191,1)),Assumptions!$A$49:$A$57,1)))/((Assumptions!$D$63*IF(Assumptions!Y$203=2027,1+Assumptions!$F$191,1)))</f>
        <v>0.183253253460029</v>
      </c>
      <c r="Z70" s="73" t="n">
        <f aca="false">MAX(0,((Assumptions!$D$63*IF(Assumptions!Z$203=2027,1+Assumptions!$F$191,1)))*INDEX(Assumptions!$C$49:$C$57,MATCH((Assumptions!$D$63*IF(Assumptions!Z$203=2027,1+Assumptions!$F$191,1)),Assumptions!$A$49:$A$57,1))-INDEX(Assumptions!$D$49:$D$57,MATCH((Assumptions!$D$63*IF(Assumptions!Z$203=2027,1+Assumptions!$F$191,1)),Assumptions!$A$49:$A$57,1)))/((Assumptions!$D$63*IF(Assumptions!Z$203=2027,1+Assumptions!$F$191,1)))</f>
        <v>0.183253253460029</v>
      </c>
      <c r="AA70" s="73" t="n">
        <f aca="false">MAX(0,((Assumptions!$D$63*IF(Assumptions!AA$203=2027,1+Assumptions!$F$191,1)))*INDEX(Assumptions!$C$49:$C$57,MATCH((Assumptions!$D$63*IF(Assumptions!AA$203=2027,1+Assumptions!$F$191,1)),Assumptions!$A$49:$A$57,1))-INDEX(Assumptions!$D$49:$D$57,MATCH((Assumptions!$D$63*IF(Assumptions!AA$203=2027,1+Assumptions!$F$191,1)),Assumptions!$A$49:$A$57,1)))/((Assumptions!$D$63*IF(Assumptions!AA$203=2027,1+Assumptions!$F$191,1)))</f>
        <v>0.183253253460029</v>
      </c>
      <c r="AB70" s="73" t="n">
        <f aca="false">MAX(0,((Assumptions!$D$63*IF(Assumptions!AB$203=2027,1+Assumptions!$F$191,1)))*INDEX(Assumptions!$C$49:$C$57,MATCH((Assumptions!$D$63*IF(Assumptions!AB$203=2027,1+Assumptions!$F$191,1)),Assumptions!$A$49:$A$57,1))-INDEX(Assumptions!$D$49:$D$57,MATCH((Assumptions!$D$63*IF(Assumptions!AB$203=2027,1+Assumptions!$F$191,1)),Assumptions!$A$49:$A$57,1)))/((Assumptions!$D$63*IF(Assumptions!AB$203=2027,1+Assumptions!$F$191,1)))</f>
        <v>0.183253253460029</v>
      </c>
    </row>
    <row r="71" customFormat="false" ht="15" hidden="false" customHeight="false" outlineLevel="0" collapsed="false">
      <c r="A71" s="27" t="s">
        <v>1142</v>
      </c>
      <c r="B71" s="63" t="s">
        <v>1139</v>
      </c>
      <c r="C71" s="72" t="n">
        <f aca="false">AVERAGE(E71:P71)</f>
        <v>0.0922846153846154</v>
      </c>
      <c r="D71" s="72" t="n">
        <f aca="false">AVERAGE(Q71:AB71)</f>
        <v>0.0966161314413742</v>
      </c>
      <c r="E71" s="73" t="n">
        <f aca="false">MAX(0,((Assumptions!$D$64*IF(Assumptions!E$203=2027,1+Assumptions!$F$191,1)))*INDEX(Assumptions!$C$49:$C$57,MATCH((Assumptions!$D$64*IF(Assumptions!E$203=2027,1+Assumptions!$F$191,1)),Assumptions!$A$49:$A$57,1))-INDEX(Assumptions!$D$49:$D$57,MATCH((Assumptions!$D$64*IF(Assumptions!E$203=2027,1+Assumptions!$F$191,1)),Assumptions!$A$49:$A$57,1)))/((Assumptions!$D$64*IF(Assumptions!E$203=2027,1+Assumptions!$F$191,1)))</f>
        <v>0.0922846153846154</v>
      </c>
      <c r="F71" s="73" t="n">
        <f aca="false">MAX(0,((Assumptions!$D$64*IF(Assumptions!F$203=2027,1+Assumptions!$F$191,1)))*INDEX(Assumptions!$C$49:$C$57,MATCH((Assumptions!$D$64*IF(Assumptions!F$203=2027,1+Assumptions!$F$191,1)),Assumptions!$A$49:$A$57,1))-INDEX(Assumptions!$D$49:$D$57,MATCH((Assumptions!$D$64*IF(Assumptions!F$203=2027,1+Assumptions!$F$191,1)),Assumptions!$A$49:$A$57,1)))/((Assumptions!$D$64*IF(Assumptions!F$203=2027,1+Assumptions!$F$191,1)))</f>
        <v>0.0922846153846154</v>
      </c>
      <c r="G71" s="73" t="n">
        <f aca="false">MAX(0,((Assumptions!$D$64*IF(Assumptions!G$203=2027,1+Assumptions!$F$191,1)))*INDEX(Assumptions!$C$49:$C$57,MATCH((Assumptions!$D$64*IF(Assumptions!G$203=2027,1+Assumptions!$F$191,1)),Assumptions!$A$49:$A$57,1))-INDEX(Assumptions!$D$49:$D$57,MATCH((Assumptions!$D$64*IF(Assumptions!G$203=2027,1+Assumptions!$F$191,1)),Assumptions!$A$49:$A$57,1)))/((Assumptions!$D$64*IF(Assumptions!G$203=2027,1+Assumptions!$F$191,1)))</f>
        <v>0.0922846153846154</v>
      </c>
      <c r="H71" s="73" t="n">
        <f aca="false">MAX(0,((Assumptions!$D$64*IF(Assumptions!H$203=2027,1+Assumptions!$F$191,1)))*INDEX(Assumptions!$C$49:$C$57,MATCH((Assumptions!$D$64*IF(Assumptions!H$203=2027,1+Assumptions!$F$191,1)),Assumptions!$A$49:$A$57,1))-INDEX(Assumptions!$D$49:$D$57,MATCH((Assumptions!$D$64*IF(Assumptions!H$203=2027,1+Assumptions!$F$191,1)),Assumptions!$A$49:$A$57,1)))/((Assumptions!$D$64*IF(Assumptions!H$203=2027,1+Assumptions!$F$191,1)))</f>
        <v>0.0922846153846154</v>
      </c>
      <c r="I71" s="73" t="n">
        <f aca="false">MAX(0,((Assumptions!$D$64*IF(Assumptions!I$203=2027,1+Assumptions!$F$191,1)))*INDEX(Assumptions!$C$49:$C$57,MATCH((Assumptions!$D$64*IF(Assumptions!I$203=2027,1+Assumptions!$F$191,1)),Assumptions!$A$49:$A$57,1))-INDEX(Assumptions!$D$49:$D$57,MATCH((Assumptions!$D$64*IF(Assumptions!I$203=2027,1+Assumptions!$F$191,1)),Assumptions!$A$49:$A$57,1)))/((Assumptions!$D$64*IF(Assumptions!I$203=2027,1+Assumptions!$F$191,1)))</f>
        <v>0.0922846153846154</v>
      </c>
      <c r="J71" s="73" t="n">
        <f aca="false">MAX(0,((Assumptions!$D$64*IF(Assumptions!J$203=2027,1+Assumptions!$F$191,1)))*INDEX(Assumptions!$C$49:$C$57,MATCH((Assumptions!$D$64*IF(Assumptions!J$203=2027,1+Assumptions!$F$191,1)),Assumptions!$A$49:$A$57,1))-INDEX(Assumptions!$D$49:$D$57,MATCH((Assumptions!$D$64*IF(Assumptions!J$203=2027,1+Assumptions!$F$191,1)),Assumptions!$A$49:$A$57,1)))/((Assumptions!$D$64*IF(Assumptions!J$203=2027,1+Assumptions!$F$191,1)))</f>
        <v>0.0922846153846154</v>
      </c>
      <c r="K71" s="73" t="n">
        <f aca="false">MAX(0,((Assumptions!$D$64*IF(Assumptions!K$203=2027,1+Assumptions!$F$191,1)))*INDEX(Assumptions!$C$49:$C$57,MATCH((Assumptions!$D$64*IF(Assumptions!K$203=2027,1+Assumptions!$F$191,1)),Assumptions!$A$49:$A$57,1))-INDEX(Assumptions!$D$49:$D$57,MATCH((Assumptions!$D$64*IF(Assumptions!K$203=2027,1+Assumptions!$F$191,1)),Assumptions!$A$49:$A$57,1)))/((Assumptions!$D$64*IF(Assumptions!K$203=2027,1+Assumptions!$F$191,1)))</f>
        <v>0.0922846153846154</v>
      </c>
      <c r="L71" s="73" t="n">
        <f aca="false">MAX(0,((Assumptions!$D$64*IF(Assumptions!L$203=2027,1+Assumptions!$F$191,1)))*INDEX(Assumptions!$C$49:$C$57,MATCH((Assumptions!$D$64*IF(Assumptions!L$203=2027,1+Assumptions!$F$191,1)),Assumptions!$A$49:$A$57,1))-INDEX(Assumptions!$D$49:$D$57,MATCH((Assumptions!$D$64*IF(Assumptions!L$203=2027,1+Assumptions!$F$191,1)),Assumptions!$A$49:$A$57,1)))/((Assumptions!$D$64*IF(Assumptions!L$203=2027,1+Assumptions!$F$191,1)))</f>
        <v>0.0922846153846154</v>
      </c>
      <c r="M71" s="73" t="n">
        <f aca="false">MAX(0,((Assumptions!$D$64*IF(Assumptions!M$203=2027,1+Assumptions!$F$191,1)))*INDEX(Assumptions!$C$49:$C$57,MATCH((Assumptions!$D$64*IF(Assumptions!M$203=2027,1+Assumptions!$F$191,1)),Assumptions!$A$49:$A$57,1))-INDEX(Assumptions!$D$49:$D$57,MATCH((Assumptions!$D$64*IF(Assumptions!M$203=2027,1+Assumptions!$F$191,1)),Assumptions!$A$49:$A$57,1)))/((Assumptions!$D$64*IF(Assumptions!M$203=2027,1+Assumptions!$F$191,1)))</f>
        <v>0.0922846153846154</v>
      </c>
      <c r="N71" s="73" t="n">
        <f aca="false">MAX(0,((Assumptions!$D$64*IF(Assumptions!N$203=2027,1+Assumptions!$F$191,1)))*INDEX(Assumptions!$C$49:$C$57,MATCH((Assumptions!$D$64*IF(Assumptions!N$203=2027,1+Assumptions!$F$191,1)),Assumptions!$A$49:$A$57,1))-INDEX(Assumptions!$D$49:$D$57,MATCH((Assumptions!$D$64*IF(Assumptions!N$203=2027,1+Assumptions!$F$191,1)),Assumptions!$A$49:$A$57,1)))/((Assumptions!$D$64*IF(Assumptions!N$203=2027,1+Assumptions!$F$191,1)))</f>
        <v>0.0922846153846154</v>
      </c>
      <c r="O71" s="73" t="n">
        <f aca="false">MAX(0,((Assumptions!$D$64*IF(Assumptions!O$203=2027,1+Assumptions!$F$191,1)))*INDEX(Assumptions!$C$49:$C$57,MATCH((Assumptions!$D$64*IF(Assumptions!O$203=2027,1+Assumptions!$F$191,1)),Assumptions!$A$49:$A$57,1))-INDEX(Assumptions!$D$49:$D$57,MATCH((Assumptions!$D$64*IF(Assumptions!O$203=2027,1+Assumptions!$F$191,1)),Assumptions!$A$49:$A$57,1)))/((Assumptions!$D$64*IF(Assumptions!O$203=2027,1+Assumptions!$F$191,1)))</f>
        <v>0.0922846153846154</v>
      </c>
      <c r="P71" s="73" t="n">
        <f aca="false">MAX(0,((Assumptions!$D$64*IF(Assumptions!P$203=2027,1+Assumptions!$F$191,1)))*INDEX(Assumptions!$C$49:$C$57,MATCH((Assumptions!$D$64*IF(Assumptions!P$203=2027,1+Assumptions!$F$191,1)),Assumptions!$A$49:$A$57,1))-INDEX(Assumptions!$D$49:$D$57,MATCH((Assumptions!$D$64*IF(Assumptions!P$203=2027,1+Assumptions!$F$191,1)),Assumptions!$A$49:$A$57,1)))/((Assumptions!$D$64*IF(Assumptions!P$203=2027,1+Assumptions!$F$191,1)))</f>
        <v>0.0922846153846154</v>
      </c>
      <c r="Q71" s="73" t="n">
        <f aca="false">MAX(0,((Assumptions!$D$64*IF(Assumptions!Q$203=2027,1+Assumptions!$F$191,1)))*INDEX(Assumptions!$C$49:$C$57,MATCH((Assumptions!$D$64*IF(Assumptions!Q$203=2027,1+Assumptions!$F$191,1)),Assumptions!$A$49:$A$57,1))-INDEX(Assumptions!$D$49:$D$57,MATCH((Assumptions!$D$64*IF(Assumptions!Q$203=2027,1+Assumptions!$F$191,1)),Assumptions!$A$49:$A$57,1)))/((Assumptions!$D$64*IF(Assumptions!Q$203=2027,1+Assumptions!$F$191,1)))</f>
        <v>0.0966161314413742</v>
      </c>
      <c r="R71" s="73" t="n">
        <f aca="false">MAX(0,((Assumptions!$D$64*IF(Assumptions!R$203=2027,1+Assumptions!$F$191,1)))*INDEX(Assumptions!$C$49:$C$57,MATCH((Assumptions!$D$64*IF(Assumptions!R$203=2027,1+Assumptions!$F$191,1)),Assumptions!$A$49:$A$57,1))-INDEX(Assumptions!$D$49:$D$57,MATCH((Assumptions!$D$64*IF(Assumptions!R$203=2027,1+Assumptions!$F$191,1)),Assumptions!$A$49:$A$57,1)))/((Assumptions!$D$64*IF(Assumptions!R$203=2027,1+Assumptions!$F$191,1)))</f>
        <v>0.0966161314413742</v>
      </c>
      <c r="S71" s="73" t="n">
        <f aca="false">MAX(0,((Assumptions!$D$64*IF(Assumptions!S$203=2027,1+Assumptions!$F$191,1)))*INDEX(Assumptions!$C$49:$C$57,MATCH((Assumptions!$D$64*IF(Assumptions!S$203=2027,1+Assumptions!$F$191,1)),Assumptions!$A$49:$A$57,1))-INDEX(Assumptions!$D$49:$D$57,MATCH((Assumptions!$D$64*IF(Assumptions!S$203=2027,1+Assumptions!$F$191,1)),Assumptions!$A$49:$A$57,1)))/((Assumptions!$D$64*IF(Assumptions!S$203=2027,1+Assumptions!$F$191,1)))</f>
        <v>0.0966161314413742</v>
      </c>
      <c r="T71" s="73" t="n">
        <f aca="false">MAX(0,((Assumptions!$D$64*IF(Assumptions!T$203=2027,1+Assumptions!$F$191,1)))*INDEX(Assumptions!$C$49:$C$57,MATCH((Assumptions!$D$64*IF(Assumptions!T$203=2027,1+Assumptions!$F$191,1)),Assumptions!$A$49:$A$57,1))-INDEX(Assumptions!$D$49:$D$57,MATCH((Assumptions!$D$64*IF(Assumptions!T$203=2027,1+Assumptions!$F$191,1)),Assumptions!$A$49:$A$57,1)))/((Assumptions!$D$64*IF(Assumptions!T$203=2027,1+Assumptions!$F$191,1)))</f>
        <v>0.0966161314413742</v>
      </c>
      <c r="U71" s="73" t="n">
        <f aca="false">MAX(0,((Assumptions!$D$64*IF(Assumptions!U$203=2027,1+Assumptions!$F$191,1)))*INDEX(Assumptions!$C$49:$C$57,MATCH((Assumptions!$D$64*IF(Assumptions!U$203=2027,1+Assumptions!$F$191,1)),Assumptions!$A$49:$A$57,1))-INDEX(Assumptions!$D$49:$D$57,MATCH((Assumptions!$D$64*IF(Assumptions!U$203=2027,1+Assumptions!$F$191,1)),Assumptions!$A$49:$A$57,1)))/((Assumptions!$D$64*IF(Assumptions!U$203=2027,1+Assumptions!$F$191,1)))</f>
        <v>0.0966161314413742</v>
      </c>
      <c r="V71" s="73" t="n">
        <f aca="false">MAX(0,((Assumptions!$D$64*IF(Assumptions!V$203=2027,1+Assumptions!$F$191,1)))*INDEX(Assumptions!$C$49:$C$57,MATCH((Assumptions!$D$64*IF(Assumptions!V$203=2027,1+Assumptions!$F$191,1)),Assumptions!$A$49:$A$57,1))-INDEX(Assumptions!$D$49:$D$57,MATCH((Assumptions!$D$64*IF(Assumptions!V$203=2027,1+Assumptions!$F$191,1)),Assumptions!$A$49:$A$57,1)))/((Assumptions!$D$64*IF(Assumptions!V$203=2027,1+Assumptions!$F$191,1)))</f>
        <v>0.0966161314413742</v>
      </c>
      <c r="W71" s="73" t="n">
        <f aca="false">MAX(0,((Assumptions!$D$64*IF(Assumptions!W$203=2027,1+Assumptions!$F$191,1)))*INDEX(Assumptions!$C$49:$C$57,MATCH((Assumptions!$D$64*IF(Assumptions!W$203=2027,1+Assumptions!$F$191,1)),Assumptions!$A$49:$A$57,1))-INDEX(Assumptions!$D$49:$D$57,MATCH((Assumptions!$D$64*IF(Assumptions!W$203=2027,1+Assumptions!$F$191,1)),Assumptions!$A$49:$A$57,1)))/((Assumptions!$D$64*IF(Assumptions!W$203=2027,1+Assumptions!$F$191,1)))</f>
        <v>0.0966161314413742</v>
      </c>
      <c r="X71" s="73" t="n">
        <f aca="false">MAX(0,((Assumptions!$D$64*IF(Assumptions!X$203=2027,1+Assumptions!$F$191,1)))*INDEX(Assumptions!$C$49:$C$57,MATCH((Assumptions!$D$64*IF(Assumptions!X$203=2027,1+Assumptions!$F$191,1)),Assumptions!$A$49:$A$57,1))-INDEX(Assumptions!$D$49:$D$57,MATCH((Assumptions!$D$64*IF(Assumptions!X$203=2027,1+Assumptions!$F$191,1)),Assumptions!$A$49:$A$57,1)))/((Assumptions!$D$64*IF(Assumptions!X$203=2027,1+Assumptions!$F$191,1)))</f>
        <v>0.0966161314413742</v>
      </c>
      <c r="Y71" s="73" t="n">
        <f aca="false">MAX(0,((Assumptions!$D$64*IF(Assumptions!Y$203=2027,1+Assumptions!$F$191,1)))*INDEX(Assumptions!$C$49:$C$57,MATCH((Assumptions!$D$64*IF(Assumptions!Y$203=2027,1+Assumptions!$F$191,1)),Assumptions!$A$49:$A$57,1))-INDEX(Assumptions!$D$49:$D$57,MATCH((Assumptions!$D$64*IF(Assumptions!Y$203=2027,1+Assumptions!$F$191,1)),Assumptions!$A$49:$A$57,1)))/((Assumptions!$D$64*IF(Assumptions!Y$203=2027,1+Assumptions!$F$191,1)))</f>
        <v>0.0966161314413742</v>
      </c>
      <c r="Z71" s="73" t="n">
        <f aca="false">MAX(0,((Assumptions!$D$64*IF(Assumptions!Z$203=2027,1+Assumptions!$F$191,1)))*INDEX(Assumptions!$C$49:$C$57,MATCH((Assumptions!$D$64*IF(Assumptions!Z$203=2027,1+Assumptions!$F$191,1)),Assumptions!$A$49:$A$57,1))-INDEX(Assumptions!$D$49:$D$57,MATCH((Assumptions!$D$64*IF(Assumptions!Z$203=2027,1+Assumptions!$F$191,1)),Assumptions!$A$49:$A$57,1)))/((Assumptions!$D$64*IF(Assumptions!Z$203=2027,1+Assumptions!$F$191,1)))</f>
        <v>0.0966161314413742</v>
      </c>
      <c r="AA71" s="73" t="n">
        <f aca="false">MAX(0,((Assumptions!$D$64*IF(Assumptions!AA$203=2027,1+Assumptions!$F$191,1)))*INDEX(Assumptions!$C$49:$C$57,MATCH((Assumptions!$D$64*IF(Assumptions!AA$203=2027,1+Assumptions!$F$191,1)),Assumptions!$A$49:$A$57,1))-INDEX(Assumptions!$D$49:$D$57,MATCH((Assumptions!$D$64*IF(Assumptions!AA$203=2027,1+Assumptions!$F$191,1)),Assumptions!$A$49:$A$57,1)))/((Assumptions!$D$64*IF(Assumptions!AA$203=2027,1+Assumptions!$F$191,1)))</f>
        <v>0.0966161314413742</v>
      </c>
      <c r="AB71" s="73" t="n">
        <f aca="false">MAX(0,((Assumptions!$D$64*IF(Assumptions!AB$203=2027,1+Assumptions!$F$191,1)))*INDEX(Assumptions!$C$49:$C$57,MATCH((Assumptions!$D$64*IF(Assumptions!AB$203=2027,1+Assumptions!$F$191,1)),Assumptions!$A$49:$A$57,1))-INDEX(Assumptions!$D$49:$D$57,MATCH((Assumptions!$D$64*IF(Assumptions!AB$203=2027,1+Assumptions!$F$191,1)),Assumptions!$A$49:$A$57,1)))/((Assumptions!$D$64*IF(Assumptions!AB$203=2027,1+Assumptions!$F$191,1)))</f>
        <v>0.0966161314413742</v>
      </c>
    </row>
    <row r="72" customFormat="false" ht="15" hidden="false" customHeight="false" outlineLevel="0" collapsed="false">
      <c r="A72" s="27" t="s">
        <v>1143</v>
      </c>
      <c r="B72" s="63" t="s">
        <v>1139</v>
      </c>
      <c r="C72" s="72" t="n">
        <f aca="false">AVERAGE(E72:P72)</f>
        <v>0.130525714285714</v>
      </c>
      <c r="D72" s="72" t="n">
        <f aca="false">AVERAGE(Q72:AB72)</f>
        <v>0.133743411927878</v>
      </c>
      <c r="E72" s="73" t="n">
        <f aca="false">MAX(0,((Assumptions!$D$65*IF(Assumptions!E$203=2027,1+Assumptions!$F$191,1)))*INDEX(Assumptions!$C$49:$C$57,MATCH((Assumptions!$D$65*IF(Assumptions!E$203=2027,1+Assumptions!$F$191,1)),Assumptions!$A$49:$A$57,1))-INDEX(Assumptions!$D$49:$D$57,MATCH((Assumptions!$D$65*IF(Assumptions!E$203=2027,1+Assumptions!$F$191,1)),Assumptions!$A$49:$A$57,1)))/((Assumptions!$D$65*IF(Assumptions!E$203=2027,1+Assumptions!$F$191,1)))</f>
        <v>0.130525714285714</v>
      </c>
      <c r="F72" s="73" t="n">
        <f aca="false">MAX(0,((Assumptions!$D$65*IF(Assumptions!F$203=2027,1+Assumptions!$F$191,1)))*INDEX(Assumptions!$C$49:$C$57,MATCH((Assumptions!$D$65*IF(Assumptions!F$203=2027,1+Assumptions!$F$191,1)),Assumptions!$A$49:$A$57,1))-INDEX(Assumptions!$D$49:$D$57,MATCH((Assumptions!$D$65*IF(Assumptions!F$203=2027,1+Assumptions!$F$191,1)),Assumptions!$A$49:$A$57,1)))/((Assumptions!$D$65*IF(Assumptions!F$203=2027,1+Assumptions!$F$191,1)))</f>
        <v>0.130525714285714</v>
      </c>
      <c r="G72" s="73" t="n">
        <f aca="false">MAX(0,((Assumptions!$D$65*IF(Assumptions!G$203=2027,1+Assumptions!$F$191,1)))*INDEX(Assumptions!$C$49:$C$57,MATCH((Assumptions!$D$65*IF(Assumptions!G$203=2027,1+Assumptions!$F$191,1)),Assumptions!$A$49:$A$57,1))-INDEX(Assumptions!$D$49:$D$57,MATCH((Assumptions!$D$65*IF(Assumptions!G$203=2027,1+Assumptions!$F$191,1)),Assumptions!$A$49:$A$57,1)))/((Assumptions!$D$65*IF(Assumptions!G$203=2027,1+Assumptions!$F$191,1)))</f>
        <v>0.130525714285714</v>
      </c>
      <c r="H72" s="73" t="n">
        <f aca="false">MAX(0,((Assumptions!$D$65*IF(Assumptions!H$203=2027,1+Assumptions!$F$191,1)))*INDEX(Assumptions!$C$49:$C$57,MATCH((Assumptions!$D$65*IF(Assumptions!H$203=2027,1+Assumptions!$F$191,1)),Assumptions!$A$49:$A$57,1))-INDEX(Assumptions!$D$49:$D$57,MATCH((Assumptions!$D$65*IF(Assumptions!H$203=2027,1+Assumptions!$F$191,1)),Assumptions!$A$49:$A$57,1)))/((Assumptions!$D$65*IF(Assumptions!H$203=2027,1+Assumptions!$F$191,1)))</f>
        <v>0.130525714285714</v>
      </c>
      <c r="I72" s="73" t="n">
        <f aca="false">MAX(0,((Assumptions!$D$65*IF(Assumptions!I$203=2027,1+Assumptions!$F$191,1)))*INDEX(Assumptions!$C$49:$C$57,MATCH((Assumptions!$D$65*IF(Assumptions!I$203=2027,1+Assumptions!$F$191,1)),Assumptions!$A$49:$A$57,1))-INDEX(Assumptions!$D$49:$D$57,MATCH((Assumptions!$D$65*IF(Assumptions!I$203=2027,1+Assumptions!$F$191,1)),Assumptions!$A$49:$A$57,1)))/((Assumptions!$D$65*IF(Assumptions!I$203=2027,1+Assumptions!$F$191,1)))</f>
        <v>0.130525714285714</v>
      </c>
      <c r="J72" s="73" t="n">
        <f aca="false">MAX(0,((Assumptions!$D$65*IF(Assumptions!J$203=2027,1+Assumptions!$F$191,1)))*INDEX(Assumptions!$C$49:$C$57,MATCH((Assumptions!$D$65*IF(Assumptions!J$203=2027,1+Assumptions!$F$191,1)),Assumptions!$A$49:$A$57,1))-INDEX(Assumptions!$D$49:$D$57,MATCH((Assumptions!$D$65*IF(Assumptions!J$203=2027,1+Assumptions!$F$191,1)),Assumptions!$A$49:$A$57,1)))/((Assumptions!$D$65*IF(Assumptions!J$203=2027,1+Assumptions!$F$191,1)))</f>
        <v>0.130525714285714</v>
      </c>
      <c r="K72" s="73" t="n">
        <f aca="false">MAX(0,((Assumptions!$D$65*IF(Assumptions!K$203=2027,1+Assumptions!$F$191,1)))*INDEX(Assumptions!$C$49:$C$57,MATCH((Assumptions!$D$65*IF(Assumptions!K$203=2027,1+Assumptions!$F$191,1)),Assumptions!$A$49:$A$57,1))-INDEX(Assumptions!$D$49:$D$57,MATCH((Assumptions!$D$65*IF(Assumptions!K$203=2027,1+Assumptions!$F$191,1)),Assumptions!$A$49:$A$57,1)))/((Assumptions!$D$65*IF(Assumptions!K$203=2027,1+Assumptions!$F$191,1)))</f>
        <v>0.130525714285714</v>
      </c>
      <c r="L72" s="73" t="n">
        <f aca="false">MAX(0,((Assumptions!$D$65*IF(Assumptions!L$203=2027,1+Assumptions!$F$191,1)))*INDEX(Assumptions!$C$49:$C$57,MATCH((Assumptions!$D$65*IF(Assumptions!L$203=2027,1+Assumptions!$F$191,1)),Assumptions!$A$49:$A$57,1))-INDEX(Assumptions!$D$49:$D$57,MATCH((Assumptions!$D$65*IF(Assumptions!L$203=2027,1+Assumptions!$F$191,1)),Assumptions!$A$49:$A$57,1)))/((Assumptions!$D$65*IF(Assumptions!L$203=2027,1+Assumptions!$F$191,1)))</f>
        <v>0.130525714285714</v>
      </c>
      <c r="M72" s="73" t="n">
        <f aca="false">MAX(0,((Assumptions!$D$65*IF(Assumptions!M$203=2027,1+Assumptions!$F$191,1)))*INDEX(Assumptions!$C$49:$C$57,MATCH((Assumptions!$D$65*IF(Assumptions!M$203=2027,1+Assumptions!$F$191,1)),Assumptions!$A$49:$A$57,1))-INDEX(Assumptions!$D$49:$D$57,MATCH((Assumptions!$D$65*IF(Assumptions!M$203=2027,1+Assumptions!$F$191,1)),Assumptions!$A$49:$A$57,1)))/((Assumptions!$D$65*IF(Assumptions!M$203=2027,1+Assumptions!$F$191,1)))</f>
        <v>0.130525714285714</v>
      </c>
      <c r="N72" s="73" t="n">
        <f aca="false">MAX(0,((Assumptions!$D$65*IF(Assumptions!N$203=2027,1+Assumptions!$F$191,1)))*INDEX(Assumptions!$C$49:$C$57,MATCH((Assumptions!$D$65*IF(Assumptions!N$203=2027,1+Assumptions!$F$191,1)),Assumptions!$A$49:$A$57,1))-INDEX(Assumptions!$D$49:$D$57,MATCH((Assumptions!$D$65*IF(Assumptions!N$203=2027,1+Assumptions!$F$191,1)),Assumptions!$A$49:$A$57,1)))/((Assumptions!$D$65*IF(Assumptions!N$203=2027,1+Assumptions!$F$191,1)))</f>
        <v>0.130525714285714</v>
      </c>
      <c r="O72" s="73" t="n">
        <f aca="false">MAX(0,((Assumptions!$D$65*IF(Assumptions!O$203=2027,1+Assumptions!$F$191,1)))*INDEX(Assumptions!$C$49:$C$57,MATCH((Assumptions!$D$65*IF(Assumptions!O$203=2027,1+Assumptions!$F$191,1)),Assumptions!$A$49:$A$57,1))-INDEX(Assumptions!$D$49:$D$57,MATCH((Assumptions!$D$65*IF(Assumptions!O$203=2027,1+Assumptions!$F$191,1)),Assumptions!$A$49:$A$57,1)))/((Assumptions!$D$65*IF(Assumptions!O$203=2027,1+Assumptions!$F$191,1)))</f>
        <v>0.130525714285714</v>
      </c>
      <c r="P72" s="73" t="n">
        <f aca="false">MAX(0,((Assumptions!$D$65*IF(Assumptions!P$203=2027,1+Assumptions!$F$191,1)))*INDEX(Assumptions!$C$49:$C$57,MATCH((Assumptions!$D$65*IF(Assumptions!P$203=2027,1+Assumptions!$F$191,1)),Assumptions!$A$49:$A$57,1))-INDEX(Assumptions!$D$49:$D$57,MATCH((Assumptions!$D$65*IF(Assumptions!P$203=2027,1+Assumptions!$F$191,1)),Assumptions!$A$49:$A$57,1)))/((Assumptions!$D$65*IF(Assumptions!P$203=2027,1+Assumptions!$F$191,1)))</f>
        <v>0.130525714285714</v>
      </c>
      <c r="Q72" s="73" t="n">
        <f aca="false">MAX(0,((Assumptions!$D$65*IF(Assumptions!Q$203=2027,1+Assumptions!$F$191,1)))*INDEX(Assumptions!$C$49:$C$57,MATCH((Assumptions!$D$65*IF(Assumptions!Q$203=2027,1+Assumptions!$F$191,1)),Assumptions!$A$49:$A$57,1))-INDEX(Assumptions!$D$49:$D$57,MATCH((Assumptions!$D$65*IF(Assumptions!Q$203=2027,1+Assumptions!$F$191,1)),Assumptions!$A$49:$A$57,1)))/((Assumptions!$D$65*IF(Assumptions!Q$203=2027,1+Assumptions!$F$191,1)))</f>
        <v>0.133743411927878</v>
      </c>
      <c r="R72" s="73" t="n">
        <f aca="false">MAX(0,((Assumptions!$D$65*IF(Assumptions!R$203=2027,1+Assumptions!$F$191,1)))*INDEX(Assumptions!$C$49:$C$57,MATCH((Assumptions!$D$65*IF(Assumptions!R$203=2027,1+Assumptions!$F$191,1)),Assumptions!$A$49:$A$57,1))-INDEX(Assumptions!$D$49:$D$57,MATCH((Assumptions!$D$65*IF(Assumptions!R$203=2027,1+Assumptions!$F$191,1)),Assumptions!$A$49:$A$57,1)))/((Assumptions!$D$65*IF(Assumptions!R$203=2027,1+Assumptions!$F$191,1)))</f>
        <v>0.133743411927878</v>
      </c>
      <c r="S72" s="73" t="n">
        <f aca="false">MAX(0,((Assumptions!$D$65*IF(Assumptions!S$203=2027,1+Assumptions!$F$191,1)))*INDEX(Assumptions!$C$49:$C$57,MATCH((Assumptions!$D$65*IF(Assumptions!S$203=2027,1+Assumptions!$F$191,1)),Assumptions!$A$49:$A$57,1))-INDEX(Assumptions!$D$49:$D$57,MATCH((Assumptions!$D$65*IF(Assumptions!S$203=2027,1+Assumptions!$F$191,1)),Assumptions!$A$49:$A$57,1)))/((Assumptions!$D$65*IF(Assumptions!S$203=2027,1+Assumptions!$F$191,1)))</f>
        <v>0.133743411927878</v>
      </c>
      <c r="T72" s="73" t="n">
        <f aca="false">MAX(0,((Assumptions!$D$65*IF(Assumptions!T$203=2027,1+Assumptions!$F$191,1)))*INDEX(Assumptions!$C$49:$C$57,MATCH((Assumptions!$D$65*IF(Assumptions!T$203=2027,1+Assumptions!$F$191,1)),Assumptions!$A$49:$A$57,1))-INDEX(Assumptions!$D$49:$D$57,MATCH((Assumptions!$D$65*IF(Assumptions!T$203=2027,1+Assumptions!$F$191,1)),Assumptions!$A$49:$A$57,1)))/((Assumptions!$D$65*IF(Assumptions!T$203=2027,1+Assumptions!$F$191,1)))</f>
        <v>0.133743411927878</v>
      </c>
      <c r="U72" s="73" t="n">
        <f aca="false">MAX(0,((Assumptions!$D$65*IF(Assumptions!U$203=2027,1+Assumptions!$F$191,1)))*INDEX(Assumptions!$C$49:$C$57,MATCH((Assumptions!$D$65*IF(Assumptions!U$203=2027,1+Assumptions!$F$191,1)),Assumptions!$A$49:$A$57,1))-INDEX(Assumptions!$D$49:$D$57,MATCH((Assumptions!$D$65*IF(Assumptions!U$203=2027,1+Assumptions!$F$191,1)),Assumptions!$A$49:$A$57,1)))/((Assumptions!$D$65*IF(Assumptions!U$203=2027,1+Assumptions!$F$191,1)))</f>
        <v>0.133743411927878</v>
      </c>
      <c r="V72" s="73" t="n">
        <f aca="false">MAX(0,((Assumptions!$D$65*IF(Assumptions!V$203=2027,1+Assumptions!$F$191,1)))*INDEX(Assumptions!$C$49:$C$57,MATCH((Assumptions!$D$65*IF(Assumptions!V$203=2027,1+Assumptions!$F$191,1)),Assumptions!$A$49:$A$57,1))-INDEX(Assumptions!$D$49:$D$57,MATCH((Assumptions!$D$65*IF(Assumptions!V$203=2027,1+Assumptions!$F$191,1)),Assumptions!$A$49:$A$57,1)))/((Assumptions!$D$65*IF(Assumptions!V$203=2027,1+Assumptions!$F$191,1)))</f>
        <v>0.133743411927878</v>
      </c>
      <c r="W72" s="73" t="n">
        <f aca="false">MAX(0,((Assumptions!$D$65*IF(Assumptions!W$203=2027,1+Assumptions!$F$191,1)))*INDEX(Assumptions!$C$49:$C$57,MATCH((Assumptions!$D$65*IF(Assumptions!W$203=2027,1+Assumptions!$F$191,1)),Assumptions!$A$49:$A$57,1))-INDEX(Assumptions!$D$49:$D$57,MATCH((Assumptions!$D$65*IF(Assumptions!W$203=2027,1+Assumptions!$F$191,1)),Assumptions!$A$49:$A$57,1)))/((Assumptions!$D$65*IF(Assumptions!W$203=2027,1+Assumptions!$F$191,1)))</f>
        <v>0.133743411927878</v>
      </c>
      <c r="X72" s="73" t="n">
        <f aca="false">MAX(0,((Assumptions!$D$65*IF(Assumptions!X$203=2027,1+Assumptions!$F$191,1)))*INDEX(Assumptions!$C$49:$C$57,MATCH((Assumptions!$D$65*IF(Assumptions!X$203=2027,1+Assumptions!$F$191,1)),Assumptions!$A$49:$A$57,1))-INDEX(Assumptions!$D$49:$D$57,MATCH((Assumptions!$D$65*IF(Assumptions!X$203=2027,1+Assumptions!$F$191,1)),Assumptions!$A$49:$A$57,1)))/((Assumptions!$D$65*IF(Assumptions!X$203=2027,1+Assumptions!$F$191,1)))</f>
        <v>0.133743411927878</v>
      </c>
      <c r="Y72" s="73" t="n">
        <f aca="false">MAX(0,((Assumptions!$D$65*IF(Assumptions!Y$203=2027,1+Assumptions!$F$191,1)))*INDEX(Assumptions!$C$49:$C$57,MATCH((Assumptions!$D$65*IF(Assumptions!Y$203=2027,1+Assumptions!$F$191,1)),Assumptions!$A$49:$A$57,1))-INDEX(Assumptions!$D$49:$D$57,MATCH((Assumptions!$D$65*IF(Assumptions!Y$203=2027,1+Assumptions!$F$191,1)),Assumptions!$A$49:$A$57,1)))/((Assumptions!$D$65*IF(Assumptions!Y$203=2027,1+Assumptions!$F$191,1)))</f>
        <v>0.133743411927878</v>
      </c>
      <c r="Z72" s="73" t="n">
        <f aca="false">MAX(0,((Assumptions!$D$65*IF(Assumptions!Z$203=2027,1+Assumptions!$F$191,1)))*INDEX(Assumptions!$C$49:$C$57,MATCH((Assumptions!$D$65*IF(Assumptions!Z$203=2027,1+Assumptions!$F$191,1)),Assumptions!$A$49:$A$57,1))-INDEX(Assumptions!$D$49:$D$57,MATCH((Assumptions!$D$65*IF(Assumptions!Z$203=2027,1+Assumptions!$F$191,1)),Assumptions!$A$49:$A$57,1)))/((Assumptions!$D$65*IF(Assumptions!Z$203=2027,1+Assumptions!$F$191,1)))</f>
        <v>0.133743411927878</v>
      </c>
      <c r="AA72" s="73" t="n">
        <f aca="false">MAX(0,((Assumptions!$D$65*IF(Assumptions!AA$203=2027,1+Assumptions!$F$191,1)))*INDEX(Assumptions!$C$49:$C$57,MATCH((Assumptions!$D$65*IF(Assumptions!AA$203=2027,1+Assumptions!$F$191,1)),Assumptions!$A$49:$A$57,1))-INDEX(Assumptions!$D$49:$D$57,MATCH((Assumptions!$D$65*IF(Assumptions!AA$203=2027,1+Assumptions!$F$191,1)),Assumptions!$A$49:$A$57,1)))/((Assumptions!$D$65*IF(Assumptions!AA$203=2027,1+Assumptions!$F$191,1)))</f>
        <v>0.133743411927878</v>
      </c>
      <c r="AB72" s="73" t="n">
        <f aca="false">MAX(0,((Assumptions!$D$65*IF(Assumptions!AB$203=2027,1+Assumptions!$F$191,1)))*INDEX(Assumptions!$C$49:$C$57,MATCH((Assumptions!$D$65*IF(Assumptions!AB$203=2027,1+Assumptions!$F$191,1)),Assumptions!$A$49:$A$57,1))-INDEX(Assumptions!$D$49:$D$57,MATCH((Assumptions!$D$65*IF(Assumptions!AB$203=2027,1+Assumptions!$F$191,1)),Assumptions!$A$49:$A$57,1)))/((Assumptions!$D$65*IF(Assumptions!AB$203=2027,1+Assumptions!$F$191,1)))</f>
        <v>0.133743411927878</v>
      </c>
    </row>
    <row r="73" customFormat="false" ht="15" hidden="false" customHeight="false" outlineLevel="0" collapsed="false">
      <c r="A73" s="27" t="s">
        <v>1144</v>
      </c>
      <c r="B73" s="63" t="s">
        <v>1139</v>
      </c>
      <c r="C73" s="72" t="n">
        <f aca="false">AVERAGE(E73:P73)</f>
        <v>0.199577358490566</v>
      </c>
      <c r="D73" s="72" t="n">
        <f aca="false">AVERAGE(Q73:AB73)</f>
        <v>0.204937241252977</v>
      </c>
      <c r="E73" s="73" t="n">
        <f aca="false">MAX(0,((Assumptions!$D$66*IF(Assumptions!E$203=2027,1+Assumptions!$F$191,1)))*INDEX(Assumptions!$C$49:$C$57,MATCH((Assumptions!$D$66*IF(Assumptions!E$203=2027,1+Assumptions!$F$191,1)),Assumptions!$A$49:$A$57,1))-INDEX(Assumptions!$D$49:$D$57,MATCH((Assumptions!$D$66*IF(Assumptions!E$203=2027,1+Assumptions!$F$191,1)),Assumptions!$A$49:$A$57,1)))/((Assumptions!$D$66*IF(Assumptions!E$203=2027,1+Assumptions!$F$191,1)))</f>
        <v>0.199577358490566</v>
      </c>
      <c r="F73" s="73" t="n">
        <f aca="false">MAX(0,((Assumptions!$D$66*IF(Assumptions!F$203=2027,1+Assumptions!$F$191,1)))*INDEX(Assumptions!$C$49:$C$57,MATCH((Assumptions!$D$66*IF(Assumptions!F$203=2027,1+Assumptions!$F$191,1)),Assumptions!$A$49:$A$57,1))-INDEX(Assumptions!$D$49:$D$57,MATCH((Assumptions!$D$66*IF(Assumptions!F$203=2027,1+Assumptions!$F$191,1)),Assumptions!$A$49:$A$57,1)))/((Assumptions!$D$66*IF(Assumptions!F$203=2027,1+Assumptions!$F$191,1)))</f>
        <v>0.199577358490566</v>
      </c>
      <c r="G73" s="73" t="n">
        <f aca="false">MAX(0,((Assumptions!$D$66*IF(Assumptions!G$203=2027,1+Assumptions!$F$191,1)))*INDEX(Assumptions!$C$49:$C$57,MATCH((Assumptions!$D$66*IF(Assumptions!G$203=2027,1+Assumptions!$F$191,1)),Assumptions!$A$49:$A$57,1))-INDEX(Assumptions!$D$49:$D$57,MATCH((Assumptions!$D$66*IF(Assumptions!G$203=2027,1+Assumptions!$F$191,1)),Assumptions!$A$49:$A$57,1)))/((Assumptions!$D$66*IF(Assumptions!G$203=2027,1+Assumptions!$F$191,1)))</f>
        <v>0.199577358490566</v>
      </c>
      <c r="H73" s="73" t="n">
        <f aca="false">MAX(0,((Assumptions!$D$66*IF(Assumptions!H$203=2027,1+Assumptions!$F$191,1)))*INDEX(Assumptions!$C$49:$C$57,MATCH((Assumptions!$D$66*IF(Assumptions!H$203=2027,1+Assumptions!$F$191,1)),Assumptions!$A$49:$A$57,1))-INDEX(Assumptions!$D$49:$D$57,MATCH((Assumptions!$D$66*IF(Assumptions!H$203=2027,1+Assumptions!$F$191,1)),Assumptions!$A$49:$A$57,1)))/((Assumptions!$D$66*IF(Assumptions!H$203=2027,1+Assumptions!$F$191,1)))</f>
        <v>0.199577358490566</v>
      </c>
      <c r="I73" s="73" t="n">
        <f aca="false">MAX(0,((Assumptions!$D$66*IF(Assumptions!I$203=2027,1+Assumptions!$F$191,1)))*INDEX(Assumptions!$C$49:$C$57,MATCH((Assumptions!$D$66*IF(Assumptions!I$203=2027,1+Assumptions!$F$191,1)),Assumptions!$A$49:$A$57,1))-INDEX(Assumptions!$D$49:$D$57,MATCH((Assumptions!$D$66*IF(Assumptions!I$203=2027,1+Assumptions!$F$191,1)),Assumptions!$A$49:$A$57,1)))/((Assumptions!$D$66*IF(Assumptions!I$203=2027,1+Assumptions!$F$191,1)))</f>
        <v>0.199577358490566</v>
      </c>
      <c r="J73" s="73" t="n">
        <f aca="false">MAX(0,((Assumptions!$D$66*IF(Assumptions!J$203=2027,1+Assumptions!$F$191,1)))*INDEX(Assumptions!$C$49:$C$57,MATCH((Assumptions!$D$66*IF(Assumptions!J$203=2027,1+Assumptions!$F$191,1)),Assumptions!$A$49:$A$57,1))-INDEX(Assumptions!$D$49:$D$57,MATCH((Assumptions!$D$66*IF(Assumptions!J$203=2027,1+Assumptions!$F$191,1)),Assumptions!$A$49:$A$57,1)))/((Assumptions!$D$66*IF(Assumptions!J$203=2027,1+Assumptions!$F$191,1)))</f>
        <v>0.199577358490566</v>
      </c>
      <c r="K73" s="73" t="n">
        <f aca="false">MAX(0,((Assumptions!$D$66*IF(Assumptions!K$203=2027,1+Assumptions!$F$191,1)))*INDEX(Assumptions!$C$49:$C$57,MATCH((Assumptions!$D$66*IF(Assumptions!K$203=2027,1+Assumptions!$F$191,1)),Assumptions!$A$49:$A$57,1))-INDEX(Assumptions!$D$49:$D$57,MATCH((Assumptions!$D$66*IF(Assumptions!K$203=2027,1+Assumptions!$F$191,1)),Assumptions!$A$49:$A$57,1)))/((Assumptions!$D$66*IF(Assumptions!K$203=2027,1+Assumptions!$F$191,1)))</f>
        <v>0.199577358490566</v>
      </c>
      <c r="L73" s="73" t="n">
        <f aca="false">MAX(0,((Assumptions!$D$66*IF(Assumptions!L$203=2027,1+Assumptions!$F$191,1)))*INDEX(Assumptions!$C$49:$C$57,MATCH((Assumptions!$D$66*IF(Assumptions!L$203=2027,1+Assumptions!$F$191,1)),Assumptions!$A$49:$A$57,1))-INDEX(Assumptions!$D$49:$D$57,MATCH((Assumptions!$D$66*IF(Assumptions!L$203=2027,1+Assumptions!$F$191,1)),Assumptions!$A$49:$A$57,1)))/((Assumptions!$D$66*IF(Assumptions!L$203=2027,1+Assumptions!$F$191,1)))</f>
        <v>0.199577358490566</v>
      </c>
      <c r="M73" s="73" t="n">
        <f aca="false">MAX(0,((Assumptions!$D$66*IF(Assumptions!M$203=2027,1+Assumptions!$F$191,1)))*INDEX(Assumptions!$C$49:$C$57,MATCH((Assumptions!$D$66*IF(Assumptions!M$203=2027,1+Assumptions!$F$191,1)),Assumptions!$A$49:$A$57,1))-INDEX(Assumptions!$D$49:$D$57,MATCH((Assumptions!$D$66*IF(Assumptions!M$203=2027,1+Assumptions!$F$191,1)),Assumptions!$A$49:$A$57,1)))/((Assumptions!$D$66*IF(Assumptions!M$203=2027,1+Assumptions!$F$191,1)))</f>
        <v>0.199577358490566</v>
      </c>
      <c r="N73" s="73" t="n">
        <f aca="false">MAX(0,((Assumptions!$D$66*IF(Assumptions!N$203=2027,1+Assumptions!$F$191,1)))*INDEX(Assumptions!$C$49:$C$57,MATCH((Assumptions!$D$66*IF(Assumptions!N$203=2027,1+Assumptions!$F$191,1)),Assumptions!$A$49:$A$57,1))-INDEX(Assumptions!$D$49:$D$57,MATCH((Assumptions!$D$66*IF(Assumptions!N$203=2027,1+Assumptions!$F$191,1)),Assumptions!$A$49:$A$57,1)))/((Assumptions!$D$66*IF(Assumptions!N$203=2027,1+Assumptions!$F$191,1)))</f>
        <v>0.199577358490566</v>
      </c>
      <c r="O73" s="73" t="n">
        <f aca="false">MAX(0,((Assumptions!$D$66*IF(Assumptions!O$203=2027,1+Assumptions!$F$191,1)))*INDEX(Assumptions!$C$49:$C$57,MATCH((Assumptions!$D$66*IF(Assumptions!O$203=2027,1+Assumptions!$F$191,1)),Assumptions!$A$49:$A$57,1))-INDEX(Assumptions!$D$49:$D$57,MATCH((Assumptions!$D$66*IF(Assumptions!O$203=2027,1+Assumptions!$F$191,1)),Assumptions!$A$49:$A$57,1)))/((Assumptions!$D$66*IF(Assumptions!O$203=2027,1+Assumptions!$F$191,1)))</f>
        <v>0.199577358490566</v>
      </c>
      <c r="P73" s="73" t="n">
        <f aca="false">MAX(0,((Assumptions!$D$66*IF(Assumptions!P$203=2027,1+Assumptions!$F$191,1)))*INDEX(Assumptions!$C$49:$C$57,MATCH((Assumptions!$D$66*IF(Assumptions!P$203=2027,1+Assumptions!$F$191,1)),Assumptions!$A$49:$A$57,1))-INDEX(Assumptions!$D$49:$D$57,MATCH((Assumptions!$D$66*IF(Assumptions!P$203=2027,1+Assumptions!$F$191,1)),Assumptions!$A$49:$A$57,1)))/((Assumptions!$D$66*IF(Assumptions!P$203=2027,1+Assumptions!$F$191,1)))</f>
        <v>0.199577358490566</v>
      </c>
      <c r="Q73" s="73" t="n">
        <f aca="false">MAX(0,((Assumptions!$D$66*IF(Assumptions!Q$203=2027,1+Assumptions!$F$191,1)))*INDEX(Assumptions!$C$49:$C$57,MATCH((Assumptions!$D$66*IF(Assumptions!Q$203=2027,1+Assumptions!$F$191,1)),Assumptions!$A$49:$A$57,1))-INDEX(Assumptions!$D$49:$D$57,MATCH((Assumptions!$D$66*IF(Assumptions!Q$203=2027,1+Assumptions!$F$191,1)),Assumptions!$A$49:$A$57,1)))/((Assumptions!$D$66*IF(Assumptions!Q$203=2027,1+Assumptions!$F$191,1)))</f>
        <v>0.204937241252977</v>
      </c>
      <c r="R73" s="73" t="n">
        <f aca="false">MAX(0,((Assumptions!$D$66*IF(Assumptions!R$203=2027,1+Assumptions!$F$191,1)))*INDEX(Assumptions!$C$49:$C$57,MATCH((Assumptions!$D$66*IF(Assumptions!R$203=2027,1+Assumptions!$F$191,1)),Assumptions!$A$49:$A$57,1))-INDEX(Assumptions!$D$49:$D$57,MATCH((Assumptions!$D$66*IF(Assumptions!R$203=2027,1+Assumptions!$F$191,1)),Assumptions!$A$49:$A$57,1)))/((Assumptions!$D$66*IF(Assumptions!R$203=2027,1+Assumptions!$F$191,1)))</f>
        <v>0.204937241252977</v>
      </c>
      <c r="S73" s="73" t="n">
        <f aca="false">MAX(0,((Assumptions!$D$66*IF(Assumptions!S$203=2027,1+Assumptions!$F$191,1)))*INDEX(Assumptions!$C$49:$C$57,MATCH((Assumptions!$D$66*IF(Assumptions!S$203=2027,1+Assumptions!$F$191,1)),Assumptions!$A$49:$A$57,1))-INDEX(Assumptions!$D$49:$D$57,MATCH((Assumptions!$D$66*IF(Assumptions!S$203=2027,1+Assumptions!$F$191,1)),Assumptions!$A$49:$A$57,1)))/((Assumptions!$D$66*IF(Assumptions!S$203=2027,1+Assumptions!$F$191,1)))</f>
        <v>0.204937241252977</v>
      </c>
      <c r="T73" s="73" t="n">
        <f aca="false">MAX(0,((Assumptions!$D$66*IF(Assumptions!T$203=2027,1+Assumptions!$F$191,1)))*INDEX(Assumptions!$C$49:$C$57,MATCH((Assumptions!$D$66*IF(Assumptions!T$203=2027,1+Assumptions!$F$191,1)),Assumptions!$A$49:$A$57,1))-INDEX(Assumptions!$D$49:$D$57,MATCH((Assumptions!$D$66*IF(Assumptions!T$203=2027,1+Assumptions!$F$191,1)),Assumptions!$A$49:$A$57,1)))/((Assumptions!$D$66*IF(Assumptions!T$203=2027,1+Assumptions!$F$191,1)))</f>
        <v>0.204937241252977</v>
      </c>
      <c r="U73" s="73" t="n">
        <f aca="false">MAX(0,((Assumptions!$D$66*IF(Assumptions!U$203=2027,1+Assumptions!$F$191,1)))*INDEX(Assumptions!$C$49:$C$57,MATCH((Assumptions!$D$66*IF(Assumptions!U$203=2027,1+Assumptions!$F$191,1)),Assumptions!$A$49:$A$57,1))-INDEX(Assumptions!$D$49:$D$57,MATCH((Assumptions!$D$66*IF(Assumptions!U$203=2027,1+Assumptions!$F$191,1)),Assumptions!$A$49:$A$57,1)))/((Assumptions!$D$66*IF(Assumptions!U$203=2027,1+Assumptions!$F$191,1)))</f>
        <v>0.204937241252977</v>
      </c>
      <c r="V73" s="73" t="n">
        <f aca="false">MAX(0,((Assumptions!$D$66*IF(Assumptions!V$203=2027,1+Assumptions!$F$191,1)))*INDEX(Assumptions!$C$49:$C$57,MATCH((Assumptions!$D$66*IF(Assumptions!V$203=2027,1+Assumptions!$F$191,1)),Assumptions!$A$49:$A$57,1))-INDEX(Assumptions!$D$49:$D$57,MATCH((Assumptions!$D$66*IF(Assumptions!V$203=2027,1+Assumptions!$F$191,1)),Assumptions!$A$49:$A$57,1)))/((Assumptions!$D$66*IF(Assumptions!V$203=2027,1+Assumptions!$F$191,1)))</f>
        <v>0.204937241252977</v>
      </c>
      <c r="W73" s="73" t="n">
        <f aca="false">MAX(0,((Assumptions!$D$66*IF(Assumptions!W$203=2027,1+Assumptions!$F$191,1)))*INDEX(Assumptions!$C$49:$C$57,MATCH((Assumptions!$D$66*IF(Assumptions!W$203=2027,1+Assumptions!$F$191,1)),Assumptions!$A$49:$A$57,1))-INDEX(Assumptions!$D$49:$D$57,MATCH((Assumptions!$D$66*IF(Assumptions!W$203=2027,1+Assumptions!$F$191,1)),Assumptions!$A$49:$A$57,1)))/((Assumptions!$D$66*IF(Assumptions!W$203=2027,1+Assumptions!$F$191,1)))</f>
        <v>0.204937241252977</v>
      </c>
      <c r="X73" s="73" t="n">
        <f aca="false">MAX(0,((Assumptions!$D$66*IF(Assumptions!X$203=2027,1+Assumptions!$F$191,1)))*INDEX(Assumptions!$C$49:$C$57,MATCH((Assumptions!$D$66*IF(Assumptions!X$203=2027,1+Assumptions!$F$191,1)),Assumptions!$A$49:$A$57,1))-INDEX(Assumptions!$D$49:$D$57,MATCH((Assumptions!$D$66*IF(Assumptions!X$203=2027,1+Assumptions!$F$191,1)),Assumptions!$A$49:$A$57,1)))/((Assumptions!$D$66*IF(Assumptions!X$203=2027,1+Assumptions!$F$191,1)))</f>
        <v>0.204937241252977</v>
      </c>
      <c r="Y73" s="73" t="n">
        <f aca="false">MAX(0,((Assumptions!$D$66*IF(Assumptions!Y$203=2027,1+Assumptions!$F$191,1)))*INDEX(Assumptions!$C$49:$C$57,MATCH((Assumptions!$D$66*IF(Assumptions!Y$203=2027,1+Assumptions!$F$191,1)),Assumptions!$A$49:$A$57,1))-INDEX(Assumptions!$D$49:$D$57,MATCH((Assumptions!$D$66*IF(Assumptions!Y$203=2027,1+Assumptions!$F$191,1)),Assumptions!$A$49:$A$57,1)))/((Assumptions!$D$66*IF(Assumptions!Y$203=2027,1+Assumptions!$F$191,1)))</f>
        <v>0.204937241252977</v>
      </c>
      <c r="Z73" s="73" t="n">
        <f aca="false">MAX(0,((Assumptions!$D$66*IF(Assumptions!Z$203=2027,1+Assumptions!$F$191,1)))*INDEX(Assumptions!$C$49:$C$57,MATCH((Assumptions!$D$66*IF(Assumptions!Z$203=2027,1+Assumptions!$F$191,1)),Assumptions!$A$49:$A$57,1))-INDEX(Assumptions!$D$49:$D$57,MATCH((Assumptions!$D$66*IF(Assumptions!Z$203=2027,1+Assumptions!$F$191,1)),Assumptions!$A$49:$A$57,1)))/((Assumptions!$D$66*IF(Assumptions!Z$203=2027,1+Assumptions!$F$191,1)))</f>
        <v>0.204937241252977</v>
      </c>
      <c r="AA73" s="73" t="n">
        <f aca="false">MAX(0,((Assumptions!$D$66*IF(Assumptions!AA$203=2027,1+Assumptions!$F$191,1)))*INDEX(Assumptions!$C$49:$C$57,MATCH((Assumptions!$D$66*IF(Assumptions!AA$203=2027,1+Assumptions!$F$191,1)),Assumptions!$A$49:$A$57,1))-INDEX(Assumptions!$D$49:$D$57,MATCH((Assumptions!$D$66*IF(Assumptions!AA$203=2027,1+Assumptions!$F$191,1)),Assumptions!$A$49:$A$57,1)))/((Assumptions!$D$66*IF(Assumptions!AA$203=2027,1+Assumptions!$F$191,1)))</f>
        <v>0.204937241252977</v>
      </c>
      <c r="AB73" s="73" t="n">
        <f aca="false">MAX(0,((Assumptions!$D$66*IF(Assumptions!AB$203=2027,1+Assumptions!$F$191,1)))*INDEX(Assumptions!$C$49:$C$57,MATCH((Assumptions!$D$66*IF(Assumptions!AB$203=2027,1+Assumptions!$F$191,1)),Assumptions!$A$49:$A$57,1))-INDEX(Assumptions!$D$49:$D$57,MATCH((Assumptions!$D$66*IF(Assumptions!AB$203=2027,1+Assumptions!$F$191,1)),Assumptions!$A$49:$A$57,1)))/((Assumptions!$D$66*IF(Assumptions!AB$203=2027,1+Assumptions!$F$191,1)))</f>
        <v>0.204937241252977</v>
      </c>
    </row>
    <row r="74" customFormat="false" ht="15" hidden="false" customHeight="false" outlineLevel="0" collapsed="false">
      <c r="A74" s="27" t="s">
        <v>1145</v>
      </c>
      <c r="B74" s="63" t="s">
        <v>1139</v>
      </c>
      <c r="C74" s="72" t="n">
        <f aca="false">AVERAGE(E74:P74)</f>
        <v>0.1624</v>
      </c>
      <c r="D74" s="72" t="n">
        <f aca="false">AVERAGE(Q74:AB74)</f>
        <v>0.167834951456311</v>
      </c>
      <c r="E74" s="73" t="n">
        <f aca="false">MAX(0,((Assumptions!$D$67*IF(Assumptions!E$203=2027,1+Assumptions!$F$191,1)))*INDEX(Assumptions!$C$49:$C$57,MATCH((Assumptions!$D$67*IF(Assumptions!E$203=2027,1+Assumptions!$F$191,1)),Assumptions!$A$49:$A$57,1))-INDEX(Assumptions!$D$49:$D$57,MATCH((Assumptions!$D$67*IF(Assumptions!E$203=2027,1+Assumptions!$F$191,1)),Assumptions!$A$49:$A$57,1)))/((Assumptions!$D$67*IF(Assumptions!E$203=2027,1+Assumptions!$F$191,1)))</f>
        <v>0.1624</v>
      </c>
      <c r="F74" s="73" t="n">
        <f aca="false">MAX(0,((Assumptions!$D$67*IF(Assumptions!F$203=2027,1+Assumptions!$F$191,1)))*INDEX(Assumptions!$C$49:$C$57,MATCH((Assumptions!$D$67*IF(Assumptions!F$203=2027,1+Assumptions!$F$191,1)),Assumptions!$A$49:$A$57,1))-INDEX(Assumptions!$D$49:$D$57,MATCH((Assumptions!$D$67*IF(Assumptions!F$203=2027,1+Assumptions!$F$191,1)),Assumptions!$A$49:$A$57,1)))/((Assumptions!$D$67*IF(Assumptions!F$203=2027,1+Assumptions!$F$191,1)))</f>
        <v>0.1624</v>
      </c>
      <c r="G74" s="73" t="n">
        <f aca="false">MAX(0,((Assumptions!$D$67*IF(Assumptions!G$203=2027,1+Assumptions!$F$191,1)))*INDEX(Assumptions!$C$49:$C$57,MATCH((Assumptions!$D$67*IF(Assumptions!G$203=2027,1+Assumptions!$F$191,1)),Assumptions!$A$49:$A$57,1))-INDEX(Assumptions!$D$49:$D$57,MATCH((Assumptions!$D$67*IF(Assumptions!G$203=2027,1+Assumptions!$F$191,1)),Assumptions!$A$49:$A$57,1)))/((Assumptions!$D$67*IF(Assumptions!G$203=2027,1+Assumptions!$F$191,1)))</f>
        <v>0.1624</v>
      </c>
      <c r="H74" s="73" t="n">
        <f aca="false">MAX(0,((Assumptions!$D$67*IF(Assumptions!H$203=2027,1+Assumptions!$F$191,1)))*INDEX(Assumptions!$C$49:$C$57,MATCH((Assumptions!$D$67*IF(Assumptions!H$203=2027,1+Assumptions!$F$191,1)),Assumptions!$A$49:$A$57,1))-INDEX(Assumptions!$D$49:$D$57,MATCH((Assumptions!$D$67*IF(Assumptions!H$203=2027,1+Assumptions!$F$191,1)),Assumptions!$A$49:$A$57,1)))/((Assumptions!$D$67*IF(Assumptions!H$203=2027,1+Assumptions!$F$191,1)))</f>
        <v>0.1624</v>
      </c>
      <c r="I74" s="73" t="n">
        <f aca="false">MAX(0,((Assumptions!$D$67*IF(Assumptions!I$203=2027,1+Assumptions!$F$191,1)))*INDEX(Assumptions!$C$49:$C$57,MATCH((Assumptions!$D$67*IF(Assumptions!I$203=2027,1+Assumptions!$F$191,1)),Assumptions!$A$49:$A$57,1))-INDEX(Assumptions!$D$49:$D$57,MATCH((Assumptions!$D$67*IF(Assumptions!I$203=2027,1+Assumptions!$F$191,1)),Assumptions!$A$49:$A$57,1)))/((Assumptions!$D$67*IF(Assumptions!I$203=2027,1+Assumptions!$F$191,1)))</f>
        <v>0.1624</v>
      </c>
      <c r="J74" s="73" t="n">
        <f aca="false">MAX(0,((Assumptions!$D$67*IF(Assumptions!J$203=2027,1+Assumptions!$F$191,1)))*INDEX(Assumptions!$C$49:$C$57,MATCH((Assumptions!$D$67*IF(Assumptions!J$203=2027,1+Assumptions!$F$191,1)),Assumptions!$A$49:$A$57,1))-INDEX(Assumptions!$D$49:$D$57,MATCH((Assumptions!$D$67*IF(Assumptions!J$203=2027,1+Assumptions!$F$191,1)),Assumptions!$A$49:$A$57,1)))/((Assumptions!$D$67*IF(Assumptions!J$203=2027,1+Assumptions!$F$191,1)))</f>
        <v>0.1624</v>
      </c>
      <c r="K74" s="73" t="n">
        <f aca="false">MAX(0,((Assumptions!$D$67*IF(Assumptions!K$203=2027,1+Assumptions!$F$191,1)))*INDEX(Assumptions!$C$49:$C$57,MATCH((Assumptions!$D$67*IF(Assumptions!K$203=2027,1+Assumptions!$F$191,1)),Assumptions!$A$49:$A$57,1))-INDEX(Assumptions!$D$49:$D$57,MATCH((Assumptions!$D$67*IF(Assumptions!K$203=2027,1+Assumptions!$F$191,1)),Assumptions!$A$49:$A$57,1)))/((Assumptions!$D$67*IF(Assumptions!K$203=2027,1+Assumptions!$F$191,1)))</f>
        <v>0.1624</v>
      </c>
      <c r="L74" s="73" t="n">
        <f aca="false">MAX(0,((Assumptions!$D$67*IF(Assumptions!L$203=2027,1+Assumptions!$F$191,1)))*INDEX(Assumptions!$C$49:$C$57,MATCH((Assumptions!$D$67*IF(Assumptions!L$203=2027,1+Assumptions!$F$191,1)),Assumptions!$A$49:$A$57,1))-INDEX(Assumptions!$D$49:$D$57,MATCH((Assumptions!$D$67*IF(Assumptions!L$203=2027,1+Assumptions!$F$191,1)),Assumptions!$A$49:$A$57,1)))/((Assumptions!$D$67*IF(Assumptions!L$203=2027,1+Assumptions!$F$191,1)))</f>
        <v>0.1624</v>
      </c>
      <c r="M74" s="73" t="n">
        <f aca="false">MAX(0,((Assumptions!$D$67*IF(Assumptions!M$203=2027,1+Assumptions!$F$191,1)))*INDEX(Assumptions!$C$49:$C$57,MATCH((Assumptions!$D$67*IF(Assumptions!M$203=2027,1+Assumptions!$F$191,1)),Assumptions!$A$49:$A$57,1))-INDEX(Assumptions!$D$49:$D$57,MATCH((Assumptions!$D$67*IF(Assumptions!M$203=2027,1+Assumptions!$F$191,1)),Assumptions!$A$49:$A$57,1)))/((Assumptions!$D$67*IF(Assumptions!M$203=2027,1+Assumptions!$F$191,1)))</f>
        <v>0.1624</v>
      </c>
      <c r="N74" s="73" t="n">
        <f aca="false">MAX(0,((Assumptions!$D$67*IF(Assumptions!N$203=2027,1+Assumptions!$F$191,1)))*INDEX(Assumptions!$C$49:$C$57,MATCH((Assumptions!$D$67*IF(Assumptions!N$203=2027,1+Assumptions!$F$191,1)),Assumptions!$A$49:$A$57,1))-INDEX(Assumptions!$D$49:$D$57,MATCH((Assumptions!$D$67*IF(Assumptions!N$203=2027,1+Assumptions!$F$191,1)),Assumptions!$A$49:$A$57,1)))/((Assumptions!$D$67*IF(Assumptions!N$203=2027,1+Assumptions!$F$191,1)))</f>
        <v>0.1624</v>
      </c>
      <c r="O74" s="73" t="n">
        <f aca="false">MAX(0,((Assumptions!$D$67*IF(Assumptions!O$203=2027,1+Assumptions!$F$191,1)))*INDEX(Assumptions!$C$49:$C$57,MATCH((Assumptions!$D$67*IF(Assumptions!O$203=2027,1+Assumptions!$F$191,1)),Assumptions!$A$49:$A$57,1))-INDEX(Assumptions!$D$49:$D$57,MATCH((Assumptions!$D$67*IF(Assumptions!O$203=2027,1+Assumptions!$F$191,1)),Assumptions!$A$49:$A$57,1)))/((Assumptions!$D$67*IF(Assumptions!O$203=2027,1+Assumptions!$F$191,1)))</f>
        <v>0.1624</v>
      </c>
      <c r="P74" s="73" t="n">
        <f aca="false">MAX(0,((Assumptions!$D$67*IF(Assumptions!P$203=2027,1+Assumptions!$F$191,1)))*INDEX(Assumptions!$C$49:$C$57,MATCH((Assumptions!$D$67*IF(Assumptions!P$203=2027,1+Assumptions!$F$191,1)),Assumptions!$A$49:$A$57,1))-INDEX(Assumptions!$D$49:$D$57,MATCH((Assumptions!$D$67*IF(Assumptions!P$203=2027,1+Assumptions!$F$191,1)),Assumptions!$A$49:$A$57,1)))/((Assumptions!$D$67*IF(Assumptions!P$203=2027,1+Assumptions!$F$191,1)))</f>
        <v>0.1624</v>
      </c>
      <c r="Q74" s="73" t="n">
        <f aca="false">MAX(0,((Assumptions!$D$67*IF(Assumptions!Q$203=2027,1+Assumptions!$F$191,1)))*INDEX(Assumptions!$C$49:$C$57,MATCH((Assumptions!$D$67*IF(Assumptions!Q$203=2027,1+Assumptions!$F$191,1)),Assumptions!$A$49:$A$57,1))-INDEX(Assumptions!$D$49:$D$57,MATCH((Assumptions!$D$67*IF(Assumptions!Q$203=2027,1+Assumptions!$F$191,1)),Assumptions!$A$49:$A$57,1)))/((Assumptions!$D$67*IF(Assumptions!Q$203=2027,1+Assumptions!$F$191,1)))</f>
        <v>0.167834951456311</v>
      </c>
      <c r="R74" s="73" t="n">
        <f aca="false">MAX(0,((Assumptions!$D$67*IF(Assumptions!R$203=2027,1+Assumptions!$F$191,1)))*INDEX(Assumptions!$C$49:$C$57,MATCH((Assumptions!$D$67*IF(Assumptions!R$203=2027,1+Assumptions!$F$191,1)),Assumptions!$A$49:$A$57,1))-INDEX(Assumptions!$D$49:$D$57,MATCH((Assumptions!$D$67*IF(Assumptions!R$203=2027,1+Assumptions!$F$191,1)),Assumptions!$A$49:$A$57,1)))/((Assumptions!$D$67*IF(Assumptions!R$203=2027,1+Assumptions!$F$191,1)))</f>
        <v>0.167834951456311</v>
      </c>
      <c r="S74" s="73" t="n">
        <f aca="false">MAX(0,((Assumptions!$D$67*IF(Assumptions!S$203=2027,1+Assumptions!$F$191,1)))*INDEX(Assumptions!$C$49:$C$57,MATCH((Assumptions!$D$67*IF(Assumptions!S$203=2027,1+Assumptions!$F$191,1)),Assumptions!$A$49:$A$57,1))-INDEX(Assumptions!$D$49:$D$57,MATCH((Assumptions!$D$67*IF(Assumptions!S$203=2027,1+Assumptions!$F$191,1)),Assumptions!$A$49:$A$57,1)))/((Assumptions!$D$67*IF(Assumptions!S$203=2027,1+Assumptions!$F$191,1)))</f>
        <v>0.167834951456311</v>
      </c>
      <c r="T74" s="73" t="n">
        <f aca="false">MAX(0,((Assumptions!$D$67*IF(Assumptions!T$203=2027,1+Assumptions!$F$191,1)))*INDEX(Assumptions!$C$49:$C$57,MATCH((Assumptions!$D$67*IF(Assumptions!T$203=2027,1+Assumptions!$F$191,1)),Assumptions!$A$49:$A$57,1))-INDEX(Assumptions!$D$49:$D$57,MATCH((Assumptions!$D$67*IF(Assumptions!T$203=2027,1+Assumptions!$F$191,1)),Assumptions!$A$49:$A$57,1)))/((Assumptions!$D$67*IF(Assumptions!T$203=2027,1+Assumptions!$F$191,1)))</f>
        <v>0.167834951456311</v>
      </c>
      <c r="U74" s="73" t="n">
        <f aca="false">MAX(0,((Assumptions!$D$67*IF(Assumptions!U$203=2027,1+Assumptions!$F$191,1)))*INDEX(Assumptions!$C$49:$C$57,MATCH((Assumptions!$D$67*IF(Assumptions!U$203=2027,1+Assumptions!$F$191,1)),Assumptions!$A$49:$A$57,1))-INDEX(Assumptions!$D$49:$D$57,MATCH((Assumptions!$D$67*IF(Assumptions!U$203=2027,1+Assumptions!$F$191,1)),Assumptions!$A$49:$A$57,1)))/((Assumptions!$D$67*IF(Assumptions!U$203=2027,1+Assumptions!$F$191,1)))</f>
        <v>0.167834951456311</v>
      </c>
      <c r="V74" s="73" t="n">
        <f aca="false">MAX(0,((Assumptions!$D$67*IF(Assumptions!V$203=2027,1+Assumptions!$F$191,1)))*INDEX(Assumptions!$C$49:$C$57,MATCH((Assumptions!$D$67*IF(Assumptions!V$203=2027,1+Assumptions!$F$191,1)),Assumptions!$A$49:$A$57,1))-INDEX(Assumptions!$D$49:$D$57,MATCH((Assumptions!$D$67*IF(Assumptions!V$203=2027,1+Assumptions!$F$191,1)),Assumptions!$A$49:$A$57,1)))/((Assumptions!$D$67*IF(Assumptions!V$203=2027,1+Assumptions!$F$191,1)))</f>
        <v>0.167834951456311</v>
      </c>
      <c r="W74" s="73" t="n">
        <f aca="false">MAX(0,((Assumptions!$D$67*IF(Assumptions!W$203=2027,1+Assumptions!$F$191,1)))*INDEX(Assumptions!$C$49:$C$57,MATCH((Assumptions!$D$67*IF(Assumptions!W$203=2027,1+Assumptions!$F$191,1)),Assumptions!$A$49:$A$57,1))-INDEX(Assumptions!$D$49:$D$57,MATCH((Assumptions!$D$67*IF(Assumptions!W$203=2027,1+Assumptions!$F$191,1)),Assumptions!$A$49:$A$57,1)))/((Assumptions!$D$67*IF(Assumptions!W$203=2027,1+Assumptions!$F$191,1)))</f>
        <v>0.167834951456311</v>
      </c>
      <c r="X74" s="73" t="n">
        <f aca="false">MAX(0,((Assumptions!$D$67*IF(Assumptions!X$203=2027,1+Assumptions!$F$191,1)))*INDEX(Assumptions!$C$49:$C$57,MATCH((Assumptions!$D$67*IF(Assumptions!X$203=2027,1+Assumptions!$F$191,1)),Assumptions!$A$49:$A$57,1))-INDEX(Assumptions!$D$49:$D$57,MATCH((Assumptions!$D$67*IF(Assumptions!X$203=2027,1+Assumptions!$F$191,1)),Assumptions!$A$49:$A$57,1)))/((Assumptions!$D$67*IF(Assumptions!X$203=2027,1+Assumptions!$F$191,1)))</f>
        <v>0.167834951456311</v>
      </c>
      <c r="Y74" s="73" t="n">
        <f aca="false">MAX(0,((Assumptions!$D$67*IF(Assumptions!Y$203=2027,1+Assumptions!$F$191,1)))*INDEX(Assumptions!$C$49:$C$57,MATCH((Assumptions!$D$67*IF(Assumptions!Y$203=2027,1+Assumptions!$F$191,1)),Assumptions!$A$49:$A$57,1))-INDEX(Assumptions!$D$49:$D$57,MATCH((Assumptions!$D$67*IF(Assumptions!Y$203=2027,1+Assumptions!$F$191,1)),Assumptions!$A$49:$A$57,1)))/((Assumptions!$D$67*IF(Assumptions!Y$203=2027,1+Assumptions!$F$191,1)))</f>
        <v>0.167834951456311</v>
      </c>
      <c r="Z74" s="73" t="n">
        <f aca="false">MAX(0,((Assumptions!$D$67*IF(Assumptions!Z$203=2027,1+Assumptions!$F$191,1)))*INDEX(Assumptions!$C$49:$C$57,MATCH((Assumptions!$D$67*IF(Assumptions!Z$203=2027,1+Assumptions!$F$191,1)),Assumptions!$A$49:$A$57,1))-INDEX(Assumptions!$D$49:$D$57,MATCH((Assumptions!$D$67*IF(Assumptions!Z$203=2027,1+Assumptions!$F$191,1)),Assumptions!$A$49:$A$57,1)))/((Assumptions!$D$67*IF(Assumptions!Z$203=2027,1+Assumptions!$F$191,1)))</f>
        <v>0.167834951456311</v>
      </c>
      <c r="AA74" s="73" t="n">
        <f aca="false">MAX(0,((Assumptions!$D$67*IF(Assumptions!AA$203=2027,1+Assumptions!$F$191,1)))*INDEX(Assumptions!$C$49:$C$57,MATCH((Assumptions!$D$67*IF(Assumptions!AA$203=2027,1+Assumptions!$F$191,1)),Assumptions!$A$49:$A$57,1))-INDEX(Assumptions!$D$49:$D$57,MATCH((Assumptions!$D$67*IF(Assumptions!AA$203=2027,1+Assumptions!$F$191,1)),Assumptions!$A$49:$A$57,1)))/((Assumptions!$D$67*IF(Assumptions!AA$203=2027,1+Assumptions!$F$191,1)))</f>
        <v>0.167834951456311</v>
      </c>
      <c r="AB74" s="73" t="n">
        <f aca="false">MAX(0,((Assumptions!$D$67*IF(Assumptions!AB$203=2027,1+Assumptions!$F$191,1)))*INDEX(Assumptions!$C$49:$C$57,MATCH((Assumptions!$D$67*IF(Assumptions!AB$203=2027,1+Assumptions!$F$191,1)),Assumptions!$A$49:$A$57,1))-INDEX(Assumptions!$D$49:$D$57,MATCH((Assumptions!$D$67*IF(Assumptions!AB$203=2027,1+Assumptions!$F$191,1)),Assumptions!$A$49:$A$57,1)))/((Assumptions!$D$67*IF(Assumptions!AB$203=2027,1+Assumptions!$F$191,1)))</f>
        <v>0.167834951456311</v>
      </c>
    </row>
    <row r="75" customFormat="false" ht="15" hidden="false" customHeight="false" outlineLevel="0" collapsed="false">
      <c r="A75" s="27" t="s">
        <v>1146</v>
      </c>
      <c r="B75" s="63" t="s">
        <v>1139</v>
      </c>
      <c r="C75" s="72" t="n">
        <f aca="false">AVERAGE(E75:P75)</f>
        <v>0.212491228070175</v>
      </c>
      <c r="D75" s="72" t="n">
        <f aca="false">AVERAGE(Q75:AB75)</f>
        <v>0.217474978708908</v>
      </c>
      <c r="E75" s="73" t="n">
        <f aca="false">MAX(0,((Assumptions!$D$68*IF(Assumptions!E$203=2027,1+Assumptions!$F$191,1)))*INDEX(Assumptions!$C$49:$C$57,MATCH((Assumptions!$D$68*IF(Assumptions!E$203=2027,1+Assumptions!$F$191,1)),Assumptions!$A$49:$A$57,1))-INDEX(Assumptions!$D$49:$D$57,MATCH((Assumptions!$D$68*IF(Assumptions!E$203=2027,1+Assumptions!$F$191,1)),Assumptions!$A$49:$A$57,1)))/((Assumptions!$D$68*IF(Assumptions!E$203=2027,1+Assumptions!$F$191,1)))</f>
        <v>0.212491228070175</v>
      </c>
      <c r="F75" s="73" t="n">
        <f aca="false">MAX(0,((Assumptions!$D$68*IF(Assumptions!F$203=2027,1+Assumptions!$F$191,1)))*INDEX(Assumptions!$C$49:$C$57,MATCH((Assumptions!$D$68*IF(Assumptions!F$203=2027,1+Assumptions!$F$191,1)),Assumptions!$A$49:$A$57,1))-INDEX(Assumptions!$D$49:$D$57,MATCH((Assumptions!$D$68*IF(Assumptions!F$203=2027,1+Assumptions!$F$191,1)),Assumptions!$A$49:$A$57,1)))/((Assumptions!$D$68*IF(Assumptions!F$203=2027,1+Assumptions!$F$191,1)))</f>
        <v>0.212491228070175</v>
      </c>
      <c r="G75" s="73" t="n">
        <f aca="false">MAX(0,((Assumptions!$D$68*IF(Assumptions!G$203=2027,1+Assumptions!$F$191,1)))*INDEX(Assumptions!$C$49:$C$57,MATCH((Assumptions!$D$68*IF(Assumptions!G$203=2027,1+Assumptions!$F$191,1)),Assumptions!$A$49:$A$57,1))-INDEX(Assumptions!$D$49:$D$57,MATCH((Assumptions!$D$68*IF(Assumptions!G$203=2027,1+Assumptions!$F$191,1)),Assumptions!$A$49:$A$57,1)))/((Assumptions!$D$68*IF(Assumptions!G$203=2027,1+Assumptions!$F$191,1)))</f>
        <v>0.212491228070175</v>
      </c>
      <c r="H75" s="73" t="n">
        <f aca="false">MAX(0,((Assumptions!$D$68*IF(Assumptions!H$203=2027,1+Assumptions!$F$191,1)))*INDEX(Assumptions!$C$49:$C$57,MATCH((Assumptions!$D$68*IF(Assumptions!H$203=2027,1+Assumptions!$F$191,1)),Assumptions!$A$49:$A$57,1))-INDEX(Assumptions!$D$49:$D$57,MATCH((Assumptions!$D$68*IF(Assumptions!H$203=2027,1+Assumptions!$F$191,1)),Assumptions!$A$49:$A$57,1)))/((Assumptions!$D$68*IF(Assumptions!H$203=2027,1+Assumptions!$F$191,1)))</f>
        <v>0.212491228070175</v>
      </c>
      <c r="I75" s="73" t="n">
        <f aca="false">MAX(0,((Assumptions!$D$68*IF(Assumptions!I$203=2027,1+Assumptions!$F$191,1)))*INDEX(Assumptions!$C$49:$C$57,MATCH((Assumptions!$D$68*IF(Assumptions!I$203=2027,1+Assumptions!$F$191,1)),Assumptions!$A$49:$A$57,1))-INDEX(Assumptions!$D$49:$D$57,MATCH((Assumptions!$D$68*IF(Assumptions!I$203=2027,1+Assumptions!$F$191,1)),Assumptions!$A$49:$A$57,1)))/((Assumptions!$D$68*IF(Assumptions!I$203=2027,1+Assumptions!$F$191,1)))</f>
        <v>0.212491228070175</v>
      </c>
      <c r="J75" s="73" t="n">
        <f aca="false">MAX(0,((Assumptions!$D$68*IF(Assumptions!J$203=2027,1+Assumptions!$F$191,1)))*INDEX(Assumptions!$C$49:$C$57,MATCH((Assumptions!$D$68*IF(Assumptions!J$203=2027,1+Assumptions!$F$191,1)),Assumptions!$A$49:$A$57,1))-INDEX(Assumptions!$D$49:$D$57,MATCH((Assumptions!$D$68*IF(Assumptions!J$203=2027,1+Assumptions!$F$191,1)),Assumptions!$A$49:$A$57,1)))/((Assumptions!$D$68*IF(Assumptions!J$203=2027,1+Assumptions!$F$191,1)))</f>
        <v>0.212491228070175</v>
      </c>
      <c r="K75" s="73" t="n">
        <f aca="false">MAX(0,((Assumptions!$D$68*IF(Assumptions!K$203=2027,1+Assumptions!$F$191,1)))*INDEX(Assumptions!$C$49:$C$57,MATCH((Assumptions!$D$68*IF(Assumptions!K$203=2027,1+Assumptions!$F$191,1)),Assumptions!$A$49:$A$57,1))-INDEX(Assumptions!$D$49:$D$57,MATCH((Assumptions!$D$68*IF(Assumptions!K$203=2027,1+Assumptions!$F$191,1)),Assumptions!$A$49:$A$57,1)))/((Assumptions!$D$68*IF(Assumptions!K$203=2027,1+Assumptions!$F$191,1)))</f>
        <v>0.212491228070175</v>
      </c>
      <c r="L75" s="73" t="n">
        <f aca="false">MAX(0,((Assumptions!$D$68*IF(Assumptions!L$203=2027,1+Assumptions!$F$191,1)))*INDEX(Assumptions!$C$49:$C$57,MATCH((Assumptions!$D$68*IF(Assumptions!L$203=2027,1+Assumptions!$F$191,1)),Assumptions!$A$49:$A$57,1))-INDEX(Assumptions!$D$49:$D$57,MATCH((Assumptions!$D$68*IF(Assumptions!L$203=2027,1+Assumptions!$F$191,1)),Assumptions!$A$49:$A$57,1)))/((Assumptions!$D$68*IF(Assumptions!L$203=2027,1+Assumptions!$F$191,1)))</f>
        <v>0.212491228070175</v>
      </c>
      <c r="M75" s="73" t="n">
        <f aca="false">MAX(0,((Assumptions!$D$68*IF(Assumptions!M$203=2027,1+Assumptions!$F$191,1)))*INDEX(Assumptions!$C$49:$C$57,MATCH((Assumptions!$D$68*IF(Assumptions!M$203=2027,1+Assumptions!$F$191,1)),Assumptions!$A$49:$A$57,1))-INDEX(Assumptions!$D$49:$D$57,MATCH((Assumptions!$D$68*IF(Assumptions!M$203=2027,1+Assumptions!$F$191,1)),Assumptions!$A$49:$A$57,1)))/((Assumptions!$D$68*IF(Assumptions!M$203=2027,1+Assumptions!$F$191,1)))</f>
        <v>0.212491228070175</v>
      </c>
      <c r="N75" s="73" t="n">
        <f aca="false">MAX(0,((Assumptions!$D$68*IF(Assumptions!N$203=2027,1+Assumptions!$F$191,1)))*INDEX(Assumptions!$C$49:$C$57,MATCH((Assumptions!$D$68*IF(Assumptions!N$203=2027,1+Assumptions!$F$191,1)),Assumptions!$A$49:$A$57,1))-INDEX(Assumptions!$D$49:$D$57,MATCH((Assumptions!$D$68*IF(Assumptions!N$203=2027,1+Assumptions!$F$191,1)),Assumptions!$A$49:$A$57,1)))/((Assumptions!$D$68*IF(Assumptions!N$203=2027,1+Assumptions!$F$191,1)))</f>
        <v>0.212491228070175</v>
      </c>
      <c r="O75" s="73" t="n">
        <f aca="false">MAX(0,((Assumptions!$D$68*IF(Assumptions!O$203=2027,1+Assumptions!$F$191,1)))*INDEX(Assumptions!$C$49:$C$57,MATCH((Assumptions!$D$68*IF(Assumptions!O$203=2027,1+Assumptions!$F$191,1)),Assumptions!$A$49:$A$57,1))-INDEX(Assumptions!$D$49:$D$57,MATCH((Assumptions!$D$68*IF(Assumptions!O$203=2027,1+Assumptions!$F$191,1)),Assumptions!$A$49:$A$57,1)))/((Assumptions!$D$68*IF(Assumptions!O$203=2027,1+Assumptions!$F$191,1)))</f>
        <v>0.212491228070175</v>
      </c>
      <c r="P75" s="73" t="n">
        <f aca="false">MAX(0,((Assumptions!$D$68*IF(Assumptions!P$203=2027,1+Assumptions!$F$191,1)))*INDEX(Assumptions!$C$49:$C$57,MATCH((Assumptions!$D$68*IF(Assumptions!P$203=2027,1+Assumptions!$F$191,1)),Assumptions!$A$49:$A$57,1))-INDEX(Assumptions!$D$49:$D$57,MATCH((Assumptions!$D$68*IF(Assumptions!P$203=2027,1+Assumptions!$F$191,1)),Assumptions!$A$49:$A$57,1)))/((Assumptions!$D$68*IF(Assumptions!P$203=2027,1+Assumptions!$F$191,1)))</f>
        <v>0.212491228070175</v>
      </c>
      <c r="Q75" s="73" t="n">
        <f aca="false">MAX(0,((Assumptions!$D$68*IF(Assumptions!Q$203=2027,1+Assumptions!$F$191,1)))*INDEX(Assumptions!$C$49:$C$57,MATCH((Assumptions!$D$68*IF(Assumptions!Q$203=2027,1+Assumptions!$F$191,1)),Assumptions!$A$49:$A$57,1))-INDEX(Assumptions!$D$49:$D$57,MATCH((Assumptions!$D$68*IF(Assumptions!Q$203=2027,1+Assumptions!$F$191,1)),Assumptions!$A$49:$A$57,1)))/((Assumptions!$D$68*IF(Assumptions!Q$203=2027,1+Assumptions!$F$191,1)))</f>
        <v>0.217474978708908</v>
      </c>
      <c r="R75" s="73" t="n">
        <f aca="false">MAX(0,((Assumptions!$D$68*IF(Assumptions!R$203=2027,1+Assumptions!$F$191,1)))*INDEX(Assumptions!$C$49:$C$57,MATCH((Assumptions!$D$68*IF(Assumptions!R$203=2027,1+Assumptions!$F$191,1)),Assumptions!$A$49:$A$57,1))-INDEX(Assumptions!$D$49:$D$57,MATCH((Assumptions!$D$68*IF(Assumptions!R$203=2027,1+Assumptions!$F$191,1)),Assumptions!$A$49:$A$57,1)))/((Assumptions!$D$68*IF(Assumptions!R$203=2027,1+Assumptions!$F$191,1)))</f>
        <v>0.217474978708908</v>
      </c>
      <c r="S75" s="73" t="n">
        <f aca="false">MAX(0,((Assumptions!$D$68*IF(Assumptions!S$203=2027,1+Assumptions!$F$191,1)))*INDEX(Assumptions!$C$49:$C$57,MATCH((Assumptions!$D$68*IF(Assumptions!S$203=2027,1+Assumptions!$F$191,1)),Assumptions!$A$49:$A$57,1))-INDEX(Assumptions!$D$49:$D$57,MATCH((Assumptions!$D$68*IF(Assumptions!S$203=2027,1+Assumptions!$F$191,1)),Assumptions!$A$49:$A$57,1)))/((Assumptions!$D$68*IF(Assumptions!S$203=2027,1+Assumptions!$F$191,1)))</f>
        <v>0.217474978708908</v>
      </c>
      <c r="T75" s="73" t="n">
        <f aca="false">MAX(0,((Assumptions!$D$68*IF(Assumptions!T$203=2027,1+Assumptions!$F$191,1)))*INDEX(Assumptions!$C$49:$C$57,MATCH((Assumptions!$D$68*IF(Assumptions!T$203=2027,1+Assumptions!$F$191,1)),Assumptions!$A$49:$A$57,1))-INDEX(Assumptions!$D$49:$D$57,MATCH((Assumptions!$D$68*IF(Assumptions!T$203=2027,1+Assumptions!$F$191,1)),Assumptions!$A$49:$A$57,1)))/((Assumptions!$D$68*IF(Assumptions!T$203=2027,1+Assumptions!$F$191,1)))</f>
        <v>0.217474978708908</v>
      </c>
      <c r="U75" s="73" t="n">
        <f aca="false">MAX(0,((Assumptions!$D$68*IF(Assumptions!U$203=2027,1+Assumptions!$F$191,1)))*INDEX(Assumptions!$C$49:$C$57,MATCH((Assumptions!$D$68*IF(Assumptions!U$203=2027,1+Assumptions!$F$191,1)),Assumptions!$A$49:$A$57,1))-INDEX(Assumptions!$D$49:$D$57,MATCH((Assumptions!$D$68*IF(Assumptions!U$203=2027,1+Assumptions!$F$191,1)),Assumptions!$A$49:$A$57,1)))/((Assumptions!$D$68*IF(Assumptions!U$203=2027,1+Assumptions!$F$191,1)))</f>
        <v>0.217474978708908</v>
      </c>
      <c r="V75" s="73" t="n">
        <f aca="false">MAX(0,((Assumptions!$D$68*IF(Assumptions!V$203=2027,1+Assumptions!$F$191,1)))*INDEX(Assumptions!$C$49:$C$57,MATCH((Assumptions!$D$68*IF(Assumptions!V$203=2027,1+Assumptions!$F$191,1)),Assumptions!$A$49:$A$57,1))-INDEX(Assumptions!$D$49:$D$57,MATCH((Assumptions!$D$68*IF(Assumptions!V$203=2027,1+Assumptions!$F$191,1)),Assumptions!$A$49:$A$57,1)))/((Assumptions!$D$68*IF(Assumptions!V$203=2027,1+Assumptions!$F$191,1)))</f>
        <v>0.217474978708908</v>
      </c>
      <c r="W75" s="73" t="n">
        <f aca="false">MAX(0,((Assumptions!$D$68*IF(Assumptions!W$203=2027,1+Assumptions!$F$191,1)))*INDEX(Assumptions!$C$49:$C$57,MATCH((Assumptions!$D$68*IF(Assumptions!W$203=2027,1+Assumptions!$F$191,1)),Assumptions!$A$49:$A$57,1))-INDEX(Assumptions!$D$49:$D$57,MATCH((Assumptions!$D$68*IF(Assumptions!W$203=2027,1+Assumptions!$F$191,1)),Assumptions!$A$49:$A$57,1)))/((Assumptions!$D$68*IF(Assumptions!W$203=2027,1+Assumptions!$F$191,1)))</f>
        <v>0.217474978708908</v>
      </c>
      <c r="X75" s="73" t="n">
        <f aca="false">MAX(0,((Assumptions!$D$68*IF(Assumptions!X$203=2027,1+Assumptions!$F$191,1)))*INDEX(Assumptions!$C$49:$C$57,MATCH((Assumptions!$D$68*IF(Assumptions!X$203=2027,1+Assumptions!$F$191,1)),Assumptions!$A$49:$A$57,1))-INDEX(Assumptions!$D$49:$D$57,MATCH((Assumptions!$D$68*IF(Assumptions!X$203=2027,1+Assumptions!$F$191,1)),Assumptions!$A$49:$A$57,1)))/((Assumptions!$D$68*IF(Assumptions!X$203=2027,1+Assumptions!$F$191,1)))</f>
        <v>0.217474978708908</v>
      </c>
      <c r="Y75" s="73" t="n">
        <f aca="false">MAX(0,((Assumptions!$D$68*IF(Assumptions!Y$203=2027,1+Assumptions!$F$191,1)))*INDEX(Assumptions!$C$49:$C$57,MATCH((Assumptions!$D$68*IF(Assumptions!Y$203=2027,1+Assumptions!$F$191,1)),Assumptions!$A$49:$A$57,1))-INDEX(Assumptions!$D$49:$D$57,MATCH((Assumptions!$D$68*IF(Assumptions!Y$203=2027,1+Assumptions!$F$191,1)),Assumptions!$A$49:$A$57,1)))/((Assumptions!$D$68*IF(Assumptions!Y$203=2027,1+Assumptions!$F$191,1)))</f>
        <v>0.217474978708908</v>
      </c>
      <c r="Z75" s="73" t="n">
        <f aca="false">MAX(0,((Assumptions!$D$68*IF(Assumptions!Z$203=2027,1+Assumptions!$F$191,1)))*INDEX(Assumptions!$C$49:$C$57,MATCH((Assumptions!$D$68*IF(Assumptions!Z$203=2027,1+Assumptions!$F$191,1)),Assumptions!$A$49:$A$57,1))-INDEX(Assumptions!$D$49:$D$57,MATCH((Assumptions!$D$68*IF(Assumptions!Z$203=2027,1+Assumptions!$F$191,1)),Assumptions!$A$49:$A$57,1)))/((Assumptions!$D$68*IF(Assumptions!Z$203=2027,1+Assumptions!$F$191,1)))</f>
        <v>0.217474978708908</v>
      </c>
      <c r="AA75" s="73" t="n">
        <f aca="false">MAX(0,((Assumptions!$D$68*IF(Assumptions!AA$203=2027,1+Assumptions!$F$191,1)))*INDEX(Assumptions!$C$49:$C$57,MATCH((Assumptions!$D$68*IF(Assumptions!AA$203=2027,1+Assumptions!$F$191,1)),Assumptions!$A$49:$A$57,1))-INDEX(Assumptions!$D$49:$D$57,MATCH((Assumptions!$D$68*IF(Assumptions!AA$203=2027,1+Assumptions!$F$191,1)),Assumptions!$A$49:$A$57,1)))/((Assumptions!$D$68*IF(Assumptions!AA$203=2027,1+Assumptions!$F$191,1)))</f>
        <v>0.217474978708908</v>
      </c>
      <c r="AB75" s="73" t="n">
        <f aca="false">MAX(0,((Assumptions!$D$68*IF(Assumptions!AB$203=2027,1+Assumptions!$F$191,1)))*INDEX(Assumptions!$C$49:$C$57,MATCH((Assumptions!$D$68*IF(Assumptions!AB$203=2027,1+Assumptions!$F$191,1)),Assumptions!$A$49:$A$57,1))-INDEX(Assumptions!$D$49:$D$57,MATCH((Assumptions!$D$68*IF(Assumptions!AB$203=2027,1+Assumptions!$F$191,1)),Assumptions!$A$49:$A$57,1)))/((Assumptions!$D$68*IF(Assumptions!AB$203=2027,1+Assumptions!$F$191,1)))</f>
        <v>0.217474978708908</v>
      </c>
    </row>
    <row r="76" customFormat="false" ht="15" hidden="false" customHeight="false" outlineLevel="0" collapsed="false">
      <c r="A76" s="27" t="s">
        <v>1147</v>
      </c>
      <c r="B76" s="63" t="s">
        <v>1139</v>
      </c>
      <c r="C76" s="72" t="n">
        <f aca="false">AVERAGE(E76:P76)</f>
        <v>0.249227777777778</v>
      </c>
      <c r="D76" s="72" t="n">
        <f aca="false">AVERAGE(Q76:AB76)</f>
        <v>0.253528910463862</v>
      </c>
      <c r="E76" s="73" t="n">
        <f aca="false">MAX(0,((Assumptions!$D$69*IF(Assumptions!E$203=2027,1+Assumptions!$F$191,1)))*INDEX(Assumptions!$C$49:$C$57,MATCH((Assumptions!$D$69*IF(Assumptions!E$203=2027,1+Assumptions!$F$191,1)),Assumptions!$A$49:$A$57,1))-INDEX(Assumptions!$D$49:$D$57,MATCH((Assumptions!$D$69*IF(Assumptions!E$203=2027,1+Assumptions!$F$191,1)),Assumptions!$A$49:$A$57,1)))/((Assumptions!$D$69*IF(Assumptions!E$203=2027,1+Assumptions!$F$191,1)))</f>
        <v>0.249227777777778</v>
      </c>
      <c r="F76" s="73" t="n">
        <f aca="false">MAX(0,((Assumptions!$D$69*IF(Assumptions!F$203=2027,1+Assumptions!$F$191,1)))*INDEX(Assumptions!$C$49:$C$57,MATCH((Assumptions!$D$69*IF(Assumptions!F$203=2027,1+Assumptions!$F$191,1)),Assumptions!$A$49:$A$57,1))-INDEX(Assumptions!$D$49:$D$57,MATCH((Assumptions!$D$69*IF(Assumptions!F$203=2027,1+Assumptions!$F$191,1)),Assumptions!$A$49:$A$57,1)))/((Assumptions!$D$69*IF(Assumptions!F$203=2027,1+Assumptions!$F$191,1)))</f>
        <v>0.249227777777778</v>
      </c>
      <c r="G76" s="73" t="n">
        <f aca="false">MAX(0,((Assumptions!$D$69*IF(Assumptions!G$203=2027,1+Assumptions!$F$191,1)))*INDEX(Assumptions!$C$49:$C$57,MATCH((Assumptions!$D$69*IF(Assumptions!G$203=2027,1+Assumptions!$F$191,1)),Assumptions!$A$49:$A$57,1))-INDEX(Assumptions!$D$49:$D$57,MATCH((Assumptions!$D$69*IF(Assumptions!G$203=2027,1+Assumptions!$F$191,1)),Assumptions!$A$49:$A$57,1)))/((Assumptions!$D$69*IF(Assumptions!G$203=2027,1+Assumptions!$F$191,1)))</f>
        <v>0.249227777777778</v>
      </c>
      <c r="H76" s="73" t="n">
        <f aca="false">MAX(0,((Assumptions!$D$69*IF(Assumptions!H$203=2027,1+Assumptions!$F$191,1)))*INDEX(Assumptions!$C$49:$C$57,MATCH((Assumptions!$D$69*IF(Assumptions!H$203=2027,1+Assumptions!$F$191,1)),Assumptions!$A$49:$A$57,1))-INDEX(Assumptions!$D$49:$D$57,MATCH((Assumptions!$D$69*IF(Assumptions!H$203=2027,1+Assumptions!$F$191,1)),Assumptions!$A$49:$A$57,1)))/((Assumptions!$D$69*IF(Assumptions!H$203=2027,1+Assumptions!$F$191,1)))</f>
        <v>0.249227777777778</v>
      </c>
      <c r="I76" s="73" t="n">
        <f aca="false">MAX(0,((Assumptions!$D$69*IF(Assumptions!I$203=2027,1+Assumptions!$F$191,1)))*INDEX(Assumptions!$C$49:$C$57,MATCH((Assumptions!$D$69*IF(Assumptions!I$203=2027,1+Assumptions!$F$191,1)),Assumptions!$A$49:$A$57,1))-INDEX(Assumptions!$D$49:$D$57,MATCH((Assumptions!$D$69*IF(Assumptions!I$203=2027,1+Assumptions!$F$191,1)),Assumptions!$A$49:$A$57,1)))/((Assumptions!$D$69*IF(Assumptions!I$203=2027,1+Assumptions!$F$191,1)))</f>
        <v>0.249227777777778</v>
      </c>
      <c r="J76" s="73" t="n">
        <f aca="false">MAX(0,((Assumptions!$D$69*IF(Assumptions!J$203=2027,1+Assumptions!$F$191,1)))*INDEX(Assumptions!$C$49:$C$57,MATCH((Assumptions!$D$69*IF(Assumptions!J$203=2027,1+Assumptions!$F$191,1)),Assumptions!$A$49:$A$57,1))-INDEX(Assumptions!$D$49:$D$57,MATCH((Assumptions!$D$69*IF(Assumptions!J$203=2027,1+Assumptions!$F$191,1)),Assumptions!$A$49:$A$57,1)))/((Assumptions!$D$69*IF(Assumptions!J$203=2027,1+Assumptions!$F$191,1)))</f>
        <v>0.249227777777778</v>
      </c>
      <c r="K76" s="73" t="n">
        <f aca="false">MAX(0,((Assumptions!$D$69*IF(Assumptions!K$203=2027,1+Assumptions!$F$191,1)))*INDEX(Assumptions!$C$49:$C$57,MATCH((Assumptions!$D$69*IF(Assumptions!K$203=2027,1+Assumptions!$F$191,1)),Assumptions!$A$49:$A$57,1))-INDEX(Assumptions!$D$49:$D$57,MATCH((Assumptions!$D$69*IF(Assumptions!K$203=2027,1+Assumptions!$F$191,1)),Assumptions!$A$49:$A$57,1)))/((Assumptions!$D$69*IF(Assumptions!K$203=2027,1+Assumptions!$F$191,1)))</f>
        <v>0.249227777777778</v>
      </c>
      <c r="L76" s="73" t="n">
        <f aca="false">MAX(0,((Assumptions!$D$69*IF(Assumptions!L$203=2027,1+Assumptions!$F$191,1)))*INDEX(Assumptions!$C$49:$C$57,MATCH((Assumptions!$D$69*IF(Assumptions!L$203=2027,1+Assumptions!$F$191,1)),Assumptions!$A$49:$A$57,1))-INDEX(Assumptions!$D$49:$D$57,MATCH((Assumptions!$D$69*IF(Assumptions!L$203=2027,1+Assumptions!$F$191,1)),Assumptions!$A$49:$A$57,1)))/((Assumptions!$D$69*IF(Assumptions!L$203=2027,1+Assumptions!$F$191,1)))</f>
        <v>0.249227777777778</v>
      </c>
      <c r="M76" s="73" t="n">
        <f aca="false">MAX(0,((Assumptions!$D$69*IF(Assumptions!M$203=2027,1+Assumptions!$F$191,1)))*INDEX(Assumptions!$C$49:$C$57,MATCH((Assumptions!$D$69*IF(Assumptions!M$203=2027,1+Assumptions!$F$191,1)),Assumptions!$A$49:$A$57,1))-INDEX(Assumptions!$D$49:$D$57,MATCH((Assumptions!$D$69*IF(Assumptions!M$203=2027,1+Assumptions!$F$191,1)),Assumptions!$A$49:$A$57,1)))/((Assumptions!$D$69*IF(Assumptions!M$203=2027,1+Assumptions!$F$191,1)))</f>
        <v>0.249227777777778</v>
      </c>
      <c r="N76" s="73" t="n">
        <f aca="false">MAX(0,((Assumptions!$D$69*IF(Assumptions!N$203=2027,1+Assumptions!$F$191,1)))*INDEX(Assumptions!$C$49:$C$57,MATCH((Assumptions!$D$69*IF(Assumptions!N$203=2027,1+Assumptions!$F$191,1)),Assumptions!$A$49:$A$57,1))-INDEX(Assumptions!$D$49:$D$57,MATCH((Assumptions!$D$69*IF(Assumptions!N$203=2027,1+Assumptions!$F$191,1)),Assumptions!$A$49:$A$57,1)))/((Assumptions!$D$69*IF(Assumptions!N$203=2027,1+Assumptions!$F$191,1)))</f>
        <v>0.249227777777778</v>
      </c>
      <c r="O76" s="73" t="n">
        <f aca="false">MAX(0,((Assumptions!$D$69*IF(Assumptions!O$203=2027,1+Assumptions!$F$191,1)))*INDEX(Assumptions!$C$49:$C$57,MATCH((Assumptions!$D$69*IF(Assumptions!O$203=2027,1+Assumptions!$F$191,1)),Assumptions!$A$49:$A$57,1))-INDEX(Assumptions!$D$49:$D$57,MATCH((Assumptions!$D$69*IF(Assumptions!O$203=2027,1+Assumptions!$F$191,1)),Assumptions!$A$49:$A$57,1)))/((Assumptions!$D$69*IF(Assumptions!O$203=2027,1+Assumptions!$F$191,1)))</f>
        <v>0.249227777777778</v>
      </c>
      <c r="P76" s="73" t="n">
        <f aca="false">MAX(0,((Assumptions!$D$69*IF(Assumptions!P$203=2027,1+Assumptions!$F$191,1)))*INDEX(Assumptions!$C$49:$C$57,MATCH((Assumptions!$D$69*IF(Assumptions!P$203=2027,1+Assumptions!$F$191,1)),Assumptions!$A$49:$A$57,1))-INDEX(Assumptions!$D$49:$D$57,MATCH((Assumptions!$D$69*IF(Assumptions!P$203=2027,1+Assumptions!$F$191,1)),Assumptions!$A$49:$A$57,1)))/((Assumptions!$D$69*IF(Assumptions!P$203=2027,1+Assumptions!$F$191,1)))</f>
        <v>0.249227777777778</v>
      </c>
      <c r="Q76" s="73" t="n">
        <f aca="false">MAX(0,((Assumptions!$D$69*IF(Assumptions!Q$203=2027,1+Assumptions!$F$191,1)))*INDEX(Assumptions!$C$49:$C$57,MATCH((Assumptions!$D$69*IF(Assumptions!Q$203=2027,1+Assumptions!$F$191,1)),Assumptions!$A$49:$A$57,1))-INDEX(Assumptions!$D$49:$D$57,MATCH((Assumptions!$D$69*IF(Assumptions!Q$203=2027,1+Assumptions!$F$191,1)),Assumptions!$A$49:$A$57,1)))/((Assumptions!$D$69*IF(Assumptions!Q$203=2027,1+Assumptions!$F$191,1)))</f>
        <v>0.253528910463862</v>
      </c>
      <c r="R76" s="73" t="n">
        <f aca="false">MAX(0,((Assumptions!$D$69*IF(Assumptions!R$203=2027,1+Assumptions!$F$191,1)))*INDEX(Assumptions!$C$49:$C$57,MATCH((Assumptions!$D$69*IF(Assumptions!R$203=2027,1+Assumptions!$F$191,1)),Assumptions!$A$49:$A$57,1))-INDEX(Assumptions!$D$49:$D$57,MATCH((Assumptions!$D$69*IF(Assumptions!R$203=2027,1+Assumptions!$F$191,1)),Assumptions!$A$49:$A$57,1)))/((Assumptions!$D$69*IF(Assumptions!R$203=2027,1+Assumptions!$F$191,1)))</f>
        <v>0.253528910463862</v>
      </c>
      <c r="S76" s="73" t="n">
        <f aca="false">MAX(0,((Assumptions!$D$69*IF(Assumptions!S$203=2027,1+Assumptions!$F$191,1)))*INDEX(Assumptions!$C$49:$C$57,MATCH((Assumptions!$D$69*IF(Assumptions!S$203=2027,1+Assumptions!$F$191,1)),Assumptions!$A$49:$A$57,1))-INDEX(Assumptions!$D$49:$D$57,MATCH((Assumptions!$D$69*IF(Assumptions!S$203=2027,1+Assumptions!$F$191,1)),Assumptions!$A$49:$A$57,1)))/((Assumptions!$D$69*IF(Assumptions!S$203=2027,1+Assumptions!$F$191,1)))</f>
        <v>0.253528910463862</v>
      </c>
      <c r="T76" s="73" t="n">
        <f aca="false">MAX(0,((Assumptions!$D$69*IF(Assumptions!T$203=2027,1+Assumptions!$F$191,1)))*INDEX(Assumptions!$C$49:$C$57,MATCH((Assumptions!$D$69*IF(Assumptions!T$203=2027,1+Assumptions!$F$191,1)),Assumptions!$A$49:$A$57,1))-INDEX(Assumptions!$D$49:$D$57,MATCH((Assumptions!$D$69*IF(Assumptions!T$203=2027,1+Assumptions!$F$191,1)),Assumptions!$A$49:$A$57,1)))/((Assumptions!$D$69*IF(Assumptions!T$203=2027,1+Assumptions!$F$191,1)))</f>
        <v>0.253528910463862</v>
      </c>
      <c r="U76" s="73" t="n">
        <f aca="false">MAX(0,((Assumptions!$D$69*IF(Assumptions!U$203=2027,1+Assumptions!$F$191,1)))*INDEX(Assumptions!$C$49:$C$57,MATCH((Assumptions!$D$69*IF(Assumptions!U$203=2027,1+Assumptions!$F$191,1)),Assumptions!$A$49:$A$57,1))-INDEX(Assumptions!$D$49:$D$57,MATCH((Assumptions!$D$69*IF(Assumptions!U$203=2027,1+Assumptions!$F$191,1)),Assumptions!$A$49:$A$57,1)))/((Assumptions!$D$69*IF(Assumptions!U$203=2027,1+Assumptions!$F$191,1)))</f>
        <v>0.253528910463862</v>
      </c>
      <c r="V76" s="73" t="n">
        <f aca="false">MAX(0,((Assumptions!$D$69*IF(Assumptions!V$203=2027,1+Assumptions!$F$191,1)))*INDEX(Assumptions!$C$49:$C$57,MATCH((Assumptions!$D$69*IF(Assumptions!V$203=2027,1+Assumptions!$F$191,1)),Assumptions!$A$49:$A$57,1))-INDEX(Assumptions!$D$49:$D$57,MATCH((Assumptions!$D$69*IF(Assumptions!V$203=2027,1+Assumptions!$F$191,1)),Assumptions!$A$49:$A$57,1)))/((Assumptions!$D$69*IF(Assumptions!V$203=2027,1+Assumptions!$F$191,1)))</f>
        <v>0.253528910463862</v>
      </c>
      <c r="W76" s="73" t="n">
        <f aca="false">MAX(0,((Assumptions!$D$69*IF(Assumptions!W$203=2027,1+Assumptions!$F$191,1)))*INDEX(Assumptions!$C$49:$C$57,MATCH((Assumptions!$D$69*IF(Assumptions!W$203=2027,1+Assumptions!$F$191,1)),Assumptions!$A$49:$A$57,1))-INDEX(Assumptions!$D$49:$D$57,MATCH((Assumptions!$D$69*IF(Assumptions!W$203=2027,1+Assumptions!$F$191,1)),Assumptions!$A$49:$A$57,1)))/((Assumptions!$D$69*IF(Assumptions!W$203=2027,1+Assumptions!$F$191,1)))</f>
        <v>0.253528910463862</v>
      </c>
      <c r="X76" s="73" t="n">
        <f aca="false">MAX(0,((Assumptions!$D$69*IF(Assumptions!X$203=2027,1+Assumptions!$F$191,1)))*INDEX(Assumptions!$C$49:$C$57,MATCH((Assumptions!$D$69*IF(Assumptions!X$203=2027,1+Assumptions!$F$191,1)),Assumptions!$A$49:$A$57,1))-INDEX(Assumptions!$D$49:$D$57,MATCH((Assumptions!$D$69*IF(Assumptions!X$203=2027,1+Assumptions!$F$191,1)),Assumptions!$A$49:$A$57,1)))/((Assumptions!$D$69*IF(Assumptions!X$203=2027,1+Assumptions!$F$191,1)))</f>
        <v>0.253528910463862</v>
      </c>
      <c r="Y76" s="73" t="n">
        <f aca="false">MAX(0,((Assumptions!$D$69*IF(Assumptions!Y$203=2027,1+Assumptions!$F$191,1)))*INDEX(Assumptions!$C$49:$C$57,MATCH((Assumptions!$D$69*IF(Assumptions!Y$203=2027,1+Assumptions!$F$191,1)),Assumptions!$A$49:$A$57,1))-INDEX(Assumptions!$D$49:$D$57,MATCH((Assumptions!$D$69*IF(Assumptions!Y$203=2027,1+Assumptions!$F$191,1)),Assumptions!$A$49:$A$57,1)))/((Assumptions!$D$69*IF(Assumptions!Y$203=2027,1+Assumptions!$F$191,1)))</f>
        <v>0.253528910463862</v>
      </c>
      <c r="Z76" s="73" t="n">
        <f aca="false">MAX(0,((Assumptions!$D$69*IF(Assumptions!Z$203=2027,1+Assumptions!$F$191,1)))*INDEX(Assumptions!$C$49:$C$57,MATCH((Assumptions!$D$69*IF(Assumptions!Z$203=2027,1+Assumptions!$F$191,1)),Assumptions!$A$49:$A$57,1))-INDEX(Assumptions!$D$49:$D$57,MATCH((Assumptions!$D$69*IF(Assumptions!Z$203=2027,1+Assumptions!$F$191,1)),Assumptions!$A$49:$A$57,1)))/((Assumptions!$D$69*IF(Assumptions!Z$203=2027,1+Assumptions!$F$191,1)))</f>
        <v>0.253528910463862</v>
      </c>
      <c r="AA76" s="73" t="n">
        <f aca="false">MAX(0,((Assumptions!$D$69*IF(Assumptions!AA$203=2027,1+Assumptions!$F$191,1)))*INDEX(Assumptions!$C$49:$C$57,MATCH((Assumptions!$D$69*IF(Assumptions!AA$203=2027,1+Assumptions!$F$191,1)),Assumptions!$A$49:$A$57,1))-INDEX(Assumptions!$D$49:$D$57,MATCH((Assumptions!$D$69*IF(Assumptions!AA$203=2027,1+Assumptions!$F$191,1)),Assumptions!$A$49:$A$57,1)))/((Assumptions!$D$69*IF(Assumptions!AA$203=2027,1+Assumptions!$F$191,1)))</f>
        <v>0.253528910463862</v>
      </c>
      <c r="AB76" s="73" t="n">
        <f aca="false">MAX(0,((Assumptions!$D$69*IF(Assumptions!AB$203=2027,1+Assumptions!$F$191,1)))*INDEX(Assumptions!$C$49:$C$57,MATCH((Assumptions!$D$69*IF(Assumptions!AB$203=2027,1+Assumptions!$F$191,1)),Assumptions!$A$49:$A$57,1))-INDEX(Assumptions!$D$49:$D$57,MATCH((Assumptions!$D$69*IF(Assumptions!AB$203=2027,1+Assumptions!$F$191,1)),Assumptions!$A$49:$A$57,1)))/((Assumptions!$D$69*IF(Assumptions!AB$203=2027,1+Assumptions!$F$191,1)))</f>
        <v>0.253528910463862</v>
      </c>
    </row>
    <row r="77" customFormat="false" ht="15" hidden="false" customHeight="false" outlineLevel="0" collapsed="false">
      <c r="A77" s="27" t="s">
        <v>1148</v>
      </c>
      <c r="B77" s="63" t="s">
        <v>1139</v>
      </c>
      <c r="C77" s="72" t="n">
        <f aca="false">AVERAGE(E77:P77)</f>
        <v>0.15067</v>
      </c>
      <c r="D77" s="72" t="n">
        <f aca="false">AVERAGE(Q77:AB77)</f>
        <v>0.155339805825243</v>
      </c>
      <c r="E77" s="73" t="n">
        <f aca="false">MAX(0,((Assumptions!$D$70*IF(Assumptions!E$203=2027,1+Assumptions!$F$191,1)))*INDEX(Assumptions!$C$49:$C$57,MATCH((Assumptions!$D$70*IF(Assumptions!E$203=2027,1+Assumptions!$F$191,1)),Assumptions!$A$49:$A$57,1))-INDEX(Assumptions!$D$49:$D$57,MATCH((Assumptions!$D$70*IF(Assumptions!E$203=2027,1+Assumptions!$F$191,1)),Assumptions!$A$49:$A$57,1)))/((Assumptions!$D$70*IF(Assumptions!E$203=2027,1+Assumptions!$F$191,1)))</f>
        <v>0.15067</v>
      </c>
      <c r="F77" s="73" t="n">
        <f aca="false">MAX(0,((Assumptions!$D$70*IF(Assumptions!F$203=2027,1+Assumptions!$F$191,1)))*INDEX(Assumptions!$C$49:$C$57,MATCH((Assumptions!$D$70*IF(Assumptions!F$203=2027,1+Assumptions!$F$191,1)),Assumptions!$A$49:$A$57,1))-INDEX(Assumptions!$D$49:$D$57,MATCH((Assumptions!$D$70*IF(Assumptions!F$203=2027,1+Assumptions!$F$191,1)),Assumptions!$A$49:$A$57,1)))/((Assumptions!$D$70*IF(Assumptions!F$203=2027,1+Assumptions!$F$191,1)))</f>
        <v>0.15067</v>
      </c>
      <c r="G77" s="73" t="n">
        <f aca="false">MAX(0,((Assumptions!$D$70*IF(Assumptions!G$203=2027,1+Assumptions!$F$191,1)))*INDEX(Assumptions!$C$49:$C$57,MATCH((Assumptions!$D$70*IF(Assumptions!G$203=2027,1+Assumptions!$F$191,1)),Assumptions!$A$49:$A$57,1))-INDEX(Assumptions!$D$49:$D$57,MATCH((Assumptions!$D$70*IF(Assumptions!G$203=2027,1+Assumptions!$F$191,1)),Assumptions!$A$49:$A$57,1)))/((Assumptions!$D$70*IF(Assumptions!G$203=2027,1+Assumptions!$F$191,1)))</f>
        <v>0.15067</v>
      </c>
      <c r="H77" s="73" t="n">
        <f aca="false">MAX(0,((Assumptions!$D$70*IF(Assumptions!H$203=2027,1+Assumptions!$F$191,1)))*INDEX(Assumptions!$C$49:$C$57,MATCH((Assumptions!$D$70*IF(Assumptions!H$203=2027,1+Assumptions!$F$191,1)),Assumptions!$A$49:$A$57,1))-INDEX(Assumptions!$D$49:$D$57,MATCH((Assumptions!$D$70*IF(Assumptions!H$203=2027,1+Assumptions!$F$191,1)),Assumptions!$A$49:$A$57,1)))/((Assumptions!$D$70*IF(Assumptions!H$203=2027,1+Assumptions!$F$191,1)))</f>
        <v>0.15067</v>
      </c>
      <c r="I77" s="73" t="n">
        <f aca="false">MAX(0,((Assumptions!$D$70*IF(Assumptions!I$203=2027,1+Assumptions!$F$191,1)))*INDEX(Assumptions!$C$49:$C$57,MATCH((Assumptions!$D$70*IF(Assumptions!I$203=2027,1+Assumptions!$F$191,1)),Assumptions!$A$49:$A$57,1))-INDEX(Assumptions!$D$49:$D$57,MATCH((Assumptions!$D$70*IF(Assumptions!I$203=2027,1+Assumptions!$F$191,1)),Assumptions!$A$49:$A$57,1)))/((Assumptions!$D$70*IF(Assumptions!I$203=2027,1+Assumptions!$F$191,1)))</f>
        <v>0.15067</v>
      </c>
      <c r="J77" s="73" t="n">
        <f aca="false">MAX(0,((Assumptions!$D$70*IF(Assumptions!J$203=2027,1+Assumptions!$F$191,1)))*INDEX(Assumptions!$C$49:$C$57,MATCH((Assumptions!$D$70*IF(Assumptions!J$203=2027,1+Assumptions!$F$191,1)),Assumptions!$A$49:$A$57,1))-INDEX(Assumptions!$D$49:$D$57,MATCH((Assumptions!$D$70*IF(Assumptions!J$203=2027,1+Assumptions!$F$191,1)),Assumptions!$A$49:$A$57,1)))/((Assumptions!$D$70*IF(Assumptions!J$203=2027,1+Assumptions!$F$191,1)))</f>
        <v>0.15067</v>
      </c>
      <c r="K77" s="73" t="n">
        <f aca="false">MAX(0,((Assumptions!$D$70*IF(Assumptions!K$203=2027,1+Assumptions!$F$191,1)))*INDEX(Assumptions!$C$49:$C$57,MATCH((Assumptions!$D$70*IF(Assumptions!K$203=2027,1+Assumptions!$F$191,1)),Assumptions!$A$49:$A$57,1))-INDEX(Assumptions!$D$49:$D$57,MATCH((Assumptions!$D$70*IF(Assumptions!K$203=2027,1+Assumptions!$F$191,1)),Assumptions!$A$49:$A$57,1)))/((Assumptions!$D$70*IF(Assumptions!K$203=2027,1+Assumptions!$F$191,1)))</f>
        <v>0.15067</v>
      </c>
      <c r="L77" s="73" t="n">
        <f aca="false">MAX(0,((Assumptions!$D$70*IF(Assumptions!L$203=2027,1+Assumptions!$F$191,1)))*INDEX(Assumptions!$C$49:$C$57,MATCH((Assumptions!$D$70*IF(Assumptions!L$203=2027,1+Assumptions!$F$191,1)),Assumptions!$A$49:$A$57,1))-INDEX(Assumptions!$D$49:$D$57,MATCH((Assumptions!$D$70*IF(Assumptions!L$203=2027,1+Assumptions!$F$191,1)),Assumptions!$A$49:$A$57,1)))/((Assumptions!$D$70*IF(Assumptions!L$203=2027,1+Assumptions!$F$191,1)))</f>
        <v>0.15067</v>
      </c>
      <c r="M77" s="73" t="n">
        <f aca="false">MAX(0,((Assumptions!$D$70*IF(Assumptions!M$203=2027,1+Assumptions!$F$191,1)))*INDEX(Assumptions!$C$49:$C$57,MATCH((Assumptions!$D$70*IF(Assumptions!M$203=2027,1+Assumptions!$F$191,1)),Assumptions!$A$49:$A$57,1))-INDEX(Assumptions!$D$49:$D$57,MATCH((Assumptions!$D$70*IF(Assumptions!M$203=2027,1+Assumptions!$F$191,1)),Assumptions!$A$49:$A$57,1)))/((Assumptions!$D$70*IF(Assumptions!M$203=2027,1+Assumptions!$F$191,1)))</f>
        <v>0.15067</v>
      </c>
      <c r="N77" s="73" t="n">
        <f aca="false">MAX(0,((Assumptions!$D$70*IF(Assumptions!N$203=2027,1+Assumptions!$F$191,1)))*INDEX(Assumptions!$C$49:$C$57,MATCH((Assumptions!$D$70*IF(Assumptions!N$203=2027,1+Assumptions!$F$191,1)),Assumptions!$A$49:$A$57,1))-INDEX(Assumptions!$D$49:$D$57,MATCH((Assumptions!$D$70*IF(Assumptions!N$203=2027,1+Assumptions!$F$191,1)),Assumptions!$A$49:$A$57,1)))/((Assumptions!$D$70*IF(Assumptions!N$203=2027,1+Assumptions!$F$191,1)))</f>
        <v>0.15067</v>
      </c>
      <c r="O77" s="73" t="n">
        <f aca="false">MAX(0,((Assumptions!$D$70*IF(Assumptions!O$203=2027,1+Assumptions!$F$191,1)))*INDEX(Assumptions!$C$49:$C$57,MATCH((Assumptions!$D$70*IF(Assumptions!O$203=2027,1+Assumptions!$F$191,1)),Assumptions!$A$49:$A$57,1))-INDEX(Assumptions!$D$49:$D$57,MATCH((Assumptions!$D$70*IF(Assumptions!O$203=2027,1+Assumptions!$F$191,1)),Assumptions!$A$49:$A$57,1)))/((Assumptions!$D$70*IF(Assumptions!O$203=2027,1+Assumptions!$F$191,1)))</f>
        <v>0.15067</v>
      </c>
      <c r="P77" s="73" t="n">
        <f aca="false">MAX(0,((Assumptions!$D$70*IF(Assumptions!P$203=2027,1+Assumptions!$F$191,1)))*INDEX(Assumptions!$C$49:$C$57,MATCH((Assumptions!$D$70*IF(Assumptions!P$203=2027,1+Assumptions!$F$191,1)),Assumptions!$A$49:$A$57,1))-INDEX(Assumptions!$D$49:$D$57,MATCH((Assumptions!$D$70*IF(Assumptions!P$203=2027,1+Assumptions!$F$191,1)),Assumptions!$A$49:$A$57,1)))/((Assumptions!$D$70*IF(Assumptions!P$203=2027,1+Assumptions!$F$191,1)))</f>
        <v>0.15067</v>
      </c>
      <c r="Q77" s="73" t="n">
        <f aca="false">MAX(0,((Assumptions!$D$70*IF(Assumptions!Q$203=2027,1+Assumptions!$F$191,1)))*INDEX(Assumptions!$C$49:$C$57,MATCH((Assumptions!$D$70*IF(Assumptions!Q$203=2027,1+Assumptions!$F$191,1)),Assumptions!$A$49:$A$57,1))-INDEX(Assumptions!$D$49:$D$57,MATCH((Assumptions!$D$70*IF(Assumptions!Q$203=2027,1+Assumptions!$F$191,1)),Assumptions!$A$49:$A$57,1)))/((Assumptions!$D$70*IF(Assumptions!Q$203=2027,1+Assumptions!$F$191,1)))</f>
        <v>0.155339805825243</v>
      </c>
      <c r="R77" s="73" t="n">
        <f aca="false">MAX(0,((Assumptions!$D$70*IF(Assumptions!R$203=2027,1+Assumptions!$F$191,1)))*INDEX(Assumptions!$C$49:$C$57,MATCH((Assumptions!$D$70*IF(Assumptions!R$203=2027,1+Assumptions!$F$191,1)),Assumptions!$A$49:$A$57,1))-INDEX(Assumptions!$D$49:$D$57,MATCH((Assumptions!$D$70*IF(Assumptions!R$203=2027,1+Assumptions!$F$191,1)),Assumptions!$A$49:$A$57,1)))/((Assumptions!$D$70*IF(Assumptions!R$203=2027,1+Assumptions!$F$191,1)))</f>
        <v>0.155339805825243</v>
      </c>
      <c r="S77" s="73" t="n">
        <f aca="false">MAX(0,((Assumptions!$D$70*IF(Assumptions!S$203=2027,1+Assumptions!$F$191,1)))*INDEX(Assumptions!$C$49:$C$57,MATCH((Assumptions!$D$70*IF(Assumptions!S$203=2027,1+Assumptions!$F$191,1)),Assumptions!$A$49:$A$57,1))-INDEX(Assumptions!$D$49:$D$57,MATCH((Assumptions!$D$70*IF(Assumptions!S$203=2027,1+Assumptions!$F$191,1)),Assumptions!$A$49:$A$57,1)))/((Assumptions!$D$70*IF(Assumptions!S$203=2027,1+Assumptions!$F$191,1)))</f>
        <v>0.155339805825243</v>
      </c>
      <c r="T77" s="73" t="n">
        <f aca="false">MAX(0,((Assumptions!$D$70*IF(Assumptions!T$203=2027,1+Assumptions!$F$191,1)))*INDEX(Assumptions!$C$49:$C$57,MATCH((Assumptions!$D$70*IF(Assumptions!T$203=2027,1+Assumptions!$F$191,1)),Assumptions!$A$49:$A$57,1))-INDEX(Assumptions!$D$49:$D$57,MATCH((Assumptions!$D$70*IF(Assumptions!T$203=2027,1+Assumptions!$F$191,1)),Assumptions!$A$49:$A$57,1)))/((Assumptions!$D$70*IF(Assumptions!T$203=2027,1+Assumptions!$F$191,1)))</f>
        <v>0.155339805825243</v>
      </c>
      <c r="U77" s="73" t="n">
        <f aca="false">MAX(0,((Assumptions!$D$70*IF(Assumptions!U$203=2027,1+Assumptions!$F$191,1)))*INDEX(Assumptions!$C$49:$C$57,MATCH((Assumptions!$D$70*IF(Assumptions!U$203=2027,1+Assumptions!$F$191,1)),Assumptions!$A$49:$A$57,1))-INDEX(Assumptions!$D$49:$D$57,MATCH((Assumptions!$D$70*IF(Assumptions!U$203=2027,1+Assumptions!$F$191,1)),Assumptions!$A$49:$A$57,1)))/((Assumptions!$D$70*IF(Assumptions!U$203=2027,1+Assumptions!$F$191,1)))</f>
        <v>0.155339805825243</v>
      </c>
      <c r="V77" s="73" t="n">
        <f aca="false">MAX(0,((Assumptions!$D$70*IF(Assumptions!V$203=2027,1+Assumptions!$F$191,1)))*INDEX(Assumptions!$C$49:$C$57,MATCH((Assumptions!$D$70*IF(Assumptions!V$203=2027,1+Assumptions!$F$191,1)),Assumptions!$A$49:$A$57,1))-INDEX(Assumptions!$D$49:$D$57,MATCH((Assumptions!$D$70*IF(Assumptions!V$203=2027,1+Assumptions!$F$191,1)),Assumptions!$A$49:$A$57,1)))/((Assumptions!$D$70*IF(Assumptions!V$203=2027,1+Assumptions!$F$191,1)))</f>
        <v>0.155339805825243</v>
      </c>
      <c r="W77" s="73" t="n">
        <f aca="false">MAX(0,((Assumptions!$D$70*IF(Assumptions!W$203=2027,1+Assumptions!$F$191,1)))*INDEX(Assumptions!$C$49:$C$57,MATCH((Assumptions!$D$70*IF(Assumptions!W$203=2027,1+Assumptions!$F$191,1)),Assumptions!$A$49:$A$57,1))-INDEX(Assumptions!$D$49:$D$57,MATCH((Assumptions!$D$70*IF(Assumptions!W$203=2027,1+Assumptions!$F$191,1)),Assumptions!$A$49:$A$57,1)))/((Assumptions!$D$70*IF(Assumptions!W$203=2027,1+Assumptions!$F$191,1)))</f>
        <v>0.155339805825243</v>
      </c>
      <c r="X77" s="73" t="n">
        <f aca="false">MAX(0,((Assumptions!$D$70*IF(Assumptions!X$203=2027,1+Assumptions!$F$191,1)))*INDEX(Assumptions!$C$49:$C$57,MATCH((Assumptions!$D$70*IF(Assumptions!X$203=2027,1+Assumptions!$F$191,1)),Assumptions!$A$49:$A$57,1))-INDEX(Assumptions!$D$49:$D$57,MATCH((Assumptions!$D$70*IF(Assumptions!X$203=2027,1+Assumptions!$F$191,1)),Assumptions!$A$49:$A$57,1)))/((Assumptions!$D$70*IF(Assumptions!X$203=2027,1+Assumptions!$F$191,1)))</f>
        <v>0.155339805825243</v>
      </c>
      <c r="Y77" s="73" t="n">
        <f aca="false">MAX(0,((Assumptions!$D$70*IF(Assumptions!Y$203=2027,1+Assumptions!$F$191,1)))*INDEX(Assumptions!$C$49:$C$57,MATCH((Assumptions!$D$70*IF(Assumptions!Y$203=2027,1+Assumptions!$F$191,1)),Assumptions!$A$49:$A$57,1))-INDEX(Assumptions!$D$49:$D$57,MATCH((Assumptions!$D$70*IF(Assumptions!Y$203=2027,1+Assumptions!$F$191,1)),Assumptions!$A$49:$A$57,1)))/((Assumptions!$D$70*IF(Assumptions!Y$203=2027,1+Assumptions!$F$191,1)))</f>
        <v>0.155339805825243</v>
      </c>
      <c r="Z77" s="73" t="n">
        <f aca="false">MAX(0,((Assumptions!$D$70*IF(Assumptions!Z$203=2027,1+Assumptions!$F$191,1)))*INDEX(Assumptions!$C$49:$C$57,MATCH((Assumptions!$D$70*IF(Assumptions!Z$203=2027,1+Assumptions!$F$191,1)),Assumptions!$A$49:$A$57,1))-INDEX(Assumptions!$D$49:$D$57,MATCH((Assumptions!$D$70*IF(Assumptions!Z$203=2027,1+Assumptions!$F$191,1)),Assumptions!$A$49:$A$57,1)))/((Assumptions!$D$70*IF(Assumptions!Z$203=2027,1+Assumptions!$F$191,1)))</f>
        <v>0.155339805825243</v>
      </c>
      <c r="AA77" s="73" t="n">
        <f aca="false">MAX(0,((Assumptions!$D$70*IF(Assumptions!AA$203=2027,1+Assumptions!$F$191,1)))*INDEX(Assumptions!$C$49:$C$57,MATCH((Assumptions!$D$70*IF(Assumptions!AA$203=2027,1+Assumptions!$F$191,1)),Assumptions!$A$49:$A$57,1))-INDEX(Assumptions!$D$49:$D$57,MATCH((Assumptions!$D$70*IF(Assumptions!AA$203=2027,1+Assumptions!$F$191,1)),Assumptions!$A$49:$A$57,1)))/((Assumptions!$D$70*IF(Assumptions!AA$203=2027,1+Assumptions!$F$191,1)))</f>
        <v>0.155339805825243</v>
      </c>
      <c r="AB77" s="73" t="n">
        <f aca="false">MAX(0,((Assumptions!$D$70*IF(Assumptions!AB$203=2027,1+Assumptions!$F$191,1)))*INDEX(Assumptions!$C$49:$C$57,MATCH((Assumptions!$D$70*IF(Assumptions!AB$203=2027,1+Assumptions!$F$191,1)),Assumptions!$A$49:$A$57,1))-INDEX(Assumptions!$D$49:$D$57,MATCH((Assumptions!$D$70*IF(Assumptions!AB$203=2027,1+Assumptions!$F$191,1)),Assumptions!$A$49:$A$57,1)))/((Assumptions!$D$70*IF(Assumptions!AB$203=2027,1+Assumptions!$F$191,1)))</f>
        <v>0.155339805825243</v>
      </c>
    </row>
    <row r="78" customFormat="false" ht="15" hidden="false" customHeight="false" outlineLevel="0" collapsed="false">
      <c r="A78" s="27" t="s">
        <v>1149</v>
      </c>
      <c r="B78" s="63" t="s">
        <v>1139</v>
      </c>
      <c r="C78" s="72" t="n">
        <f aca="false">AVERAGE(E78:P78)</f>
        <v>0.196038461538462</v>
      </c>
      <c r="D78" s="72" t="n">
        <f aca="false">AVERAGE(Q78:AB78)</f>
        <v>0.20150141896938</v>
      </c>
      <c r="E78" s="73" t="n">
        <f aca="false">MAX(0,((Assumptions!$D$71*IF(Assumptions!E$203=2027,1+Assumptions!$F$191,1)))*INDEX(Assumptions!$C$49:$C$57,MATCH((Assumptions!$D$71*IF(Assumptions!E$203=2027,1+Assumptions!$F$191,1)),Assumptions!$A$49:$A$57,1))-INDEX(Assumptions!$D$49:$D$57,MATCH((Assumptions!$D$71*IF(Assumptions!E$203=2027,1+Assumptions!$F$191,1)),Assumptions!$A$49:$A$57,1)))/((Assumptions!$D$71*IF(Assumptions!E$203=2027,1+Assumptions!$F$191,1)))</f>
        <v>0.196038461538462</v>
      </c>
      <c r="F78" s="73" t="n">
        <f aca="false">MAX(0,((Assumptions!$D$71*IF(Assumptions!F$203=2027,1+Assumptions!$F$191,1)))*INDEX(Assumptions!$C$49:$C$57,MATCH((Assumptions!$D$71*IF(Assumptions!F$203=2027,1+Assumptions!$F$191,1)),Assumptions!$A$49:$A$57,1))-INDEX(Assumptions!$D$49:$D$57,MATCH((Assumptions!$D$71*IF(Assumptions!F$203=2027,1+Assumptions!$F$191,1)),Assumptions!$A$49:$A$57,1)))/((Assumptions!$D$71*IF(Assumptions!F$203=2027,1+Assumptions!$F$191,1)))</f>
        <v>0.196038461538462</v>
      </c>
      <c r="G78" s="73" t="n">
        <f aca="false">MAX(0,((Assumptions!$D$71*IF(Assumptions!G$203=2027,1+Assumptions!$F$191,1)))*INDEX(Assumptions!$C$49:$C$57,MATCH((Assumptions!$D$71*IF(Assumptions!G$203=2027,1+Assumptions!$F$191,1)),Assumptions!$A$49:$A$57,1))-INDEX(Assumptions!$D$49:$D$57,MATCH((Assumptions!$D$71*IF(Assumptions!G$203=2027,1+Assumptions!$F$191,1)),Assumptions!$A$49:$A$57,1)))/((Assumptions!$D$71*IF(Assumptions!G$203=2027,1+Assumptions!$F$191,1)))</f>
        <v>0.196038461538462</v>
      </c>
      <c r="H78" s="73" t="n">
        <f aca="false">MAX(0,((Assumptions!$D$71*IF(Assumptions!H$203=2027,1+Assumptions!$F$191,1)))*INDEX(Assumptions!$C$49:$C$57,MATCH((Assumptions!$D$71*IF(Assumptions!H$203=2027,1+Assumptions!$F$191,1)),Assumptions!$A$49:$A$57,1))-INDEX(Assumptions!$D$49:$D$57,MATCH((Assumptions!$D$71*IF(Assumptions!H$203=2027,1+Assumptions!$F$191,1)),Assumptions!$A$49:$A$57,1)))/((Assumptions!$D$71*IF(Assumptions!H$203=2027,1+Assumptions!$F$191,1)))</f>
        <v>0.196038461538462</v>
      </c>
      <c r="I78" s="73" t="n">
        <f aca="false">MAX(0,((Assumptions!$D$71*IF(Assumptions!I$203=2027,1+Assumptions!$F$191,1)))*INDEX(Assumptions!$C$49:$C$57,MATCH((Assumptions!$D$71*IF(Assumptions!I$203=2027,1+Assumptions!$F$191,1)),Assumptions!$A$49:$A$57,1))-INDEX(Assumptions!$D$49:$D$57,MATCH((Assumptions!$D$71*IF(Assumptions!I$203=2027,1+Assumptions!$F$191,1)),Assumptions!$A$49:$A$57,1)))/((Assumptions!$D$71*IF(Assumptions!I$203=2027,1+Assumptions!$F$191,1)))</f>
        <v>0.196038461538462</v>
      </c>
      <c r="J78" s="73" t="n">
        <f aca="false">MAX(0,((Assumptions!$D$71*IF(Assumptions!J$203=2027,1+Assumptions!$F$191,1)))*INDEX(Assumptions!$C$49:$C$57,MATCH((Assumptions!$D$71*IF(Assumptions!J$203=2027,1+Assumptions!$F$191,1)),Assumptions!$A$49:$A$57,1))-INDEX(Assumptions!$D$49:$D$57,MATCH((Assumptions!$D$71*IF(Assumptions!J$203=2027,1+Assumptions!$F$191,1)),Assumptions!$A$49:$A$57,1)))/((Assumptions!$D$71*IF(Assumptions!J$203=2027,1+Assumptions!$F$191,1)))</f>
        <v>0.196038461538462</v>
      </c>
      <c r="K78" s="73" t="n">
        <f aca="false">MAX(0,((Assumptions!$D$71*IF(Assumptions!K$203=2027,1+Assumptions!$F$191,1)))*INDEX(Assumptions!$C$49:$C$57,MATCH((Assumptions!$D$71*IF(Assumptions!K$203=2027,1+Assumptions!$F$191,1)),Assumptions!$A$49:$A$57,1))-INDEX(Assumptions!$D$49:$D$57,MATCH((Assumptions!$D$71*IF(Assumptions!K$203=2027,1+Assumptions!$F$191,1)),Assumptions!$A$49:$A$57,1)))/((Assumptions!$D$71*IF(Assumptions!K$203=2027,1+Assumptions!$F$191,1)))</f>
        <v>0.196038461538462</v>
      </c>
      <c r="L78" s="73" t="n">
        <f aca="false">MAX(0,((Assumptions!$D$71*IF(Assumptions!L$203=2027,1+Assumptions!$F$191,1)))*INDEX(Assumptions!$C$49:$C$57,MATCH((Assumptions!$D$71*IF(Assumptions!L$203=2027,1+Assumptions!$F$191,1)),Assumptions!$A$49:$A$57,1))-INDEX(Assumptions!$D$49:$D$57,MATCH((Assumptions!$D$71*IF(Assumptions!L$203=2027,1+Assumptions!$F$191,1)),Assumptions!$A$49:$A$57,1)))/((Assumptions!$D$71*IF(Assumptions!L$203=2027,1+Assumptions!$F$191,1)))</f>
        <v>0.196038461538462</v>
      </c>
      <c r="M78" s="73" t="n">
        <f aca="false">MAX(0,((Assumptions!$D$71*IF(Assumptions!M$203=2027,1+Assumptions!$F$191,1)))*INDEX(Assumptions!$C$49:$C$57,MATCH((Assumptions!$D$71*IF(Assumptions!M$203=2027,1+Assumptions!$F$191,1)),Assumptions!$A$49:$A$57,1))-INDEX(Assumptions!$D$49:$D$57,MATCH((Assumptions!$D$71*IF(Assumptions!M$203=2027,1+Assumptions!$F$191,1)),Assumptions!$A$49:$A$57,1)))/((Assumptions!$D$71*IF(Assumptions!M$203=2027,1+Assumptions!$F$191,1)))</f>
        <v>0.196038461538462</v>
      </c>
      <c r="N78" s="73" t="n">
        <f aca="false">MAX(0,((Assumptions!$D$71*IF(Assumptions!N$203=2027,1+Assumptions!$F$191,1)))*INDEX(Assumptions!$C$49:$C$57,MATCH((Assumptions!$D$71*IF(Assumptions!N$203=2027,1+Assumptions!$F$191,1)),Assumptions!$A$49:$A$57,1))-INDEX(Assumptions!$D$49:$D$57,MATCH((Assumptions!$D$71*IF(Assumptions!N$203=2027,1+Assumptions!$F$191,1)),Assumptions!$A$49:$A$57,1)))/((Assumptions!$D$71*IF(Assumptions!N$203=2027,1+Assumptions!$F$191,1)))</f>
        <v>0.196038461538462</v>
      </c>
      <c r="O78" s="73" t="n">
        <f aca="false">MAX(0,((Assumptions!$D$71*IF(Assumptions!O$203=2027,1+Assumptions!$F$191,1)))*INDEX(Assumptions!$C$49:$C$57,MATCH((Assumptions!$D$71*IF(Assumptions!O$203=2027,1+Assumptions!$F$191,1)),Assumptions!$A$49:$A$57,1))-INDEX(Assumptions!$D$49:$D$57,MATCH((Assumptions!$D$71*IF(Assumptions!O$203=2027,1+Assumptions!$F$191,1)),Assumptions!$A$49:$A$57,1)))/((Assumptions!$D$71*IF(Assumptions!O$203=2027,1+Assumptions!$F$191,1)))</f>
        <v>0.196038461538462</v>
      </c>
      <c r="P78" s="73" t="n">
        <f aca="false">MAX(0,((Assumptions!$D$71*IF(Assumptions!P$203=2027,1+Assumptions!$F$191,1)))*INDEX(Assumptions!$C$49:$C$57,MATCH((Assumptions!$D$71*IF(Assumptions!P$203=2027,1+Assumptions!$F$191,1)),Assumptions!$A$49:$A$57,1))-INDEX(Assumptions!$D$49:$D$57,MATCH((Assumptions!$D$71*IF(Assumptions!P$203=2027,1+Assumptions!$F$191,1)),Assumptions!$A$49:$A$57,1)))/((Assumptions!$D$71*IF(Assumptions!P$203=2027,1+Assumptions!$F$191,1)))</f>
        <v>0.196038461538462</v>
      </c>
      <c r="Q78" s="73" t="n">
        <f aca="false">MAX(0,((Assumptions!$D$71*IF(Assumptions!Q$203=2027,1+Assumptions!$F$191,1)))*INDEX(Assumptions!$C$49:$C$57,MATCH((Assumptions!$D$71*IF(Assumptions!Q$203=2027,1+Assumptions!$F$191,1)),Assumptions!$A$49:$A$57,1))-INDEX(Assumptions!$D$49:$D$57,MATCH((Assumptions!$D$71*IF(Assumptions!Q$203=2027,1+Assumptions!$F$191,1)),Assumptions!$A$49:$A$57,1)))/((Assumptions!$D$71*IF(Assumptions!Q$203=2027,1+Assumptions!$F$191,1)))</f>
        <v>0.20150141896938</v>
      </c>
      <c r="R78" s="73" t="n">
        <f aca="false">MAX(0,((Assumptions!$D$71*IF(Assumptions!R$203=2027,1+Assumptions!$F$191,1)))*INDEX(Assumptions!$C$49:$C$57,MATCH((Assumptions!$D$71*IF(Assumptions!R$203=2027,1+Assumptions!$F$191,1)),Assumptions!$A$49:$A$57,1))-INDEX(Assumptions!$D$49:$D$57,MATCH((Assumptions!$D$71*IF(Assumptions!R$203=2027,1+Assumptions!$F$191,1)),Assumptions!$A$49:$A$57,1)))/((Assumptions!$D$71*IF(Assumptions!R$203=2027,1+Assumptions!$F$191,1)))</f>
        <v>0.20150141896938</v>
      </c>
      <c r="S78" s="73" t="n">
        <f aca="false">MAX(0,((Assumptions!$D$71*IF(Assumptions!S$203=2027,1+Assumptions!$F$191,1)))*INDEX(Assumptions!$C$49:$C$57,MATCH((Assumptions!$D$71*IF(Assumptions!S$203=2027,1+Assumptions!$F$191,1)),Assumptions!$A$49:$A$57,1))-INDEX(Assumptions!$D$49:$D$57,MATCH((Assumptions!$D$71*IF(Assumptions!S$203=2027,1+Assumptions!$F$191,1)),Assumptions!$A$49:$A$57,1)))/((Assumptions!$D$71*IF(Assumptions!S$203=2027,1+Assumptions!$F$191,1)))</f>
        <v>0.20150141896938</v>
      </c>
      <c r="T78" s="73" t="n">
        <f aca="false">MAX(0,((Assumptions!$D$71*IF(Assumptions!T$203=2027,1+Assumptions!$F$191,1)))*INDEX(Assumptions!$C$49:$C$57,MATCH((Assumptions!$D$71*IF(Assumptions!T$203=2027,1+Assumptions!$F$191,1)),Assumptions!$A$49:$A$57,1))-INDEX(Assumptions!$D$49:$D$57,MATCH((Assumptions!$D$71*IF(Assumptions!T$203=2027,1+Assumptions!$F$191,1)),Assumptions!$A$49:$A$57,1)))/((Assumptions!$D$71*IF(Assumptions!T$203=2027,1+Assumptions!$F$191,1)))</f>
        <v>0.20150141896938</v>
      </c>
      <c r="U78" s="73" t="n">
        <f aca="false">MAX(0,((Assumptions!$D$71*IF(Assumptions!U$203=2027,1+Assumptions!$F$191,1)))*INDEX(Assumptions!$C$49:$C$57,MATCH((Assumptions!$D$71*IF(Assumptions!U$203=2027,1+Assumptions!$F$191,1)),Assumptions!$A$49:$A$57,1))-INDEX(Assumptions!$D$49:$D$57,MATCH((Assumptions!$D$71*IF(Assumptions!U$203=2027,1+Assumptions!$F$191,1)),Assumptions!$A$49:$A$57,1)))/((Assumptions!$D$71*IF(Assumptions!U$203=2027,1+Assumptions!$F$191,1)))</f>
        <v>0.20150141896938</v>
      </c>
      <c r="V78" s="73" t="n">
        <f aca="false">MAX(0,((Assumptions!$D$71*IF(Assumptions!V$203=2027,1+Assumptions!$F$191,1)))*INDEX(Assumptions!$C$49:$C$57,MATCH((Assumptions!$D$71*IF(Assumptions!V$203=2027,1+Assumptions!$F$191,1)),Assumptions!$A$49:$A$57,1))-INDEX(Assumptions!$D$49:$D$57,MATCH((Assumptions!$D$71*IF(Assumptions!V$203=2027,1+Assumptions!$F$191,1)),Assumptions!$A$49:$A$57,1)))/((Assumptions!$D$71*IF(Assumptions!V$203=2027,1+Assumptions!$F$191,1)))</f>
        <v>0.20150141896938</v>
      </c>
      <c r="W78" s="73" t="n">
        <f aca="false">MAX(0,((Assumptions!$D$71*IF(Assumptions!W$203=2027,1+Assumptions!$F$191,1)))*INDEX(Assumptions!$C$49:$C$57,MATCH((Assumptions!$D$71*IF(Assumptions!W$203=2027,1+Assumptions!$F$191,1)),Assumptions!$A$49:$A$57,1))-INDEX(Assumptions!$D$49:$D$57,MATCH((Assumptions!$D$71*IF(Assumptions!W$203=2027,1+Assumptions!$F$191,1)),Assumptions!$A$49:$A$57,1)))/((Assumptions!$D$71*IF(Assumptions!W$203=2027,1+Assumptions!$F$191,1)))</f>
        <v>0.20150141896938</v>
      </c>
      <c r="X78" s="73" t="n">
        <f aca="false">MAX(0,((Assumptions!$D$71*IF(Assumptions!X$203=2027,1+Assumptions!$F$191,1)))*INDEX(Assumptions!$C$49:$C$57,MATCH((Assumptions!$D$71*IF(Assumptions!X$203=2027,1+Assumptions!$F$191,1)),Assumptions!$A$49:$A$57,1))-INDEX(Assumptions!$D$49:$D$57,MATCH((Assumptions!$D$71*IF(Assumptions!X$203=2027,1+Assumptions!$F$191,1)),Assumptions!$A$49:$A$57,1)))/((Assumptions!$D$71*IF(Assumptions!X$203=2027,1+Assumptions!$F$191,1)))</f>
        <v>0.20150141896938</v>
      </c>
      <c r="Y78" s="73" t="n">
        <f aca="false">MAX(0,((Assumptions!$D$71*IF(Assumptions!Y$203=2027,1+Assumptions!$F$191,1)))*INDEX(Assumptions!$C$49:$C$57,MATCH((Assumptions!$D$71*IF(Assumptions!Y$203=2027,1+Assumptions!$F$191,1)),Assumptions!$A$49:$A$57,1))-INDEX(Assumptions!$D$49:$D$57,MATCH((Assumptions!$D$71*IF(Assumptions!Y$203=2027,1+Assumptions!$F$191,1)),Assumptions!$A$49:$A$57,1)))/((Assumptions!$D$71*IF(Assumptions!Y$203=2027,1+Assumptions!$F$191,1)))</f>
        <v>0.20150141896938</v>
      </c>
      <c r="Z78" s="73" t="n">
        <f aca="false">MAX(0,((Assumptions!$D$71*IF(Assumptions!Z$203=2027,1+Assumptions!$F$191,1)))*INDEX(Assumptions!$C$49:$C$57,MATCH((Assumptions!$D$71*IF(Assumptions!Z$203=2027,1+Assumptions!$F$191,1)),Assumptions!$A$49:$A$57,1))-INDEX(Assumptions!$D$49:$D$57,MATCH((Assumptions!$D$71*IF(Assumptions!Z$203=2027,1+Assumptions!$F$191,1)),Assumptions!$A$49:$A$57,1)))/((Assumptions!$D$71*IF(Assumptions!Z$203=2027,1+Assumptions!$F$191,1)))</f>
        <v>0.20150141896938</v>
      </c>
      <c r="AA78" s="73" t="n">
        <f aca="false">MAX(0,((Assumptions!$D$71*IF(Assumptions!AA$203=2027,1+Assumptions!$F$191,1)))*INDEX(Assumptions!$C$49:$C$57,MATCH((Assumptions!$D$71*IF(Assumptions!AA$203=2027,1+Assumptions!$F$191,1)),Assumptions!$A$49:$A$57,1))-INDEX(Assumptions!$D$49:$D$57,MATCH((Assumptions!$D$71*IF(Assumptions!AA$203=2027,1+Assumptions!$F$191,1)),Assumptions!$A$49:$A$57,1)))/((Assumptions!$D$71*IF(Assumptions!AA$203=2027,1+Assumptions!$F$191,1)))</f>
        <v>0.20150141896938</v>
      </c>
      <c r="AB78" s="73" t="n">
        <f aca="false">MAX(0,((Assumptions!$D$71*IF(Assumptions!AB$203=2027,1+Assumptions!$F$191,1)))*INDEX(Assumptions!$C$49:$C$57,MATCH((Assumptions!$D$71*IF(Assumptions!AB$203=2027,1+Assumptions!$F$191,1)),Assumptions!$A$49:$A$57,1))-INDEX(Assumptions!$D$49:$D$57,MATCH((Assumptions!$D$71*IF(Assumptions!AB$203=2027,1+Assumptions!$F$191,1)),Assumptions!$A$49:$A$57,1)))/((Assumptions!$D$71*IF(Assumptions!AB$203=2027,1+Assumptions!$F$191,1)))</f>
        <v>0.20150141896938</v>
      </c>
    </row>
    <row r="79" customFormat="false" ht="15" hidden="false" customHeight="false" outlineLevel="0" collapsed="false">
      <c r="A79" s="27" t="s">
        <v>1150</v>
      </c>
      <c r="B79" s="63" t="s">
        <v>1139</v>
      </c>
      <c r="C79" s="72" t="n">
        <f aca="false">AVERAGE(E79:P79)</f>
        <v>0.133594444444444</v>
      </c>
      <c r="D79" s="72" t="n">
        <f aca="false">AVERAGE(Q79:AB79)</f>
        <v>0.138044228694714</v>
      </c>
      <c r="E79" s="73" t="n">
        <f aca="false">MAX(0,((Assumptions!$D$72*IF(Assumptions!E$203=2027,1+Assumptions!$F$191,1)))*INDEX(Assumptions!$C$49:$C$57,MATCH((Assumptions!$D$72*IF(Assumptions!E$203=2027,1+Assumptions!$F$191,1)),Assumptions!$A$49:$A$57,1))-INDEX(Assumptions!$D$49:$D$57,MATCH((Assumptions!$D$72*IF(Assumptions!E$203=2027,1+Assumptions!$F$191,1)),Assumptions!$A$49:$A$57,1)))/((Assumptions!$D$72*IF(Assumptions!E$203=2027,1+Assumptions!$F$191,1)))</f>
        <v>0.133594444444444</v>
      </c>
      <c r="F79" s="73" t="n">
        <f aca="false">MAX(0,((Assumptions!$D$72*IF(Assumptions!F$203=2027,1+Assumptions!$F$191,1)))*INDEX(Assumptions!$C$49:$C$57,MATCH((Assumptions!$D$72*IF(Assumptions!F$203=2027,1+Assumptions!$F$191,1)),Assumptions!$A$49:$A$57,1))-INDEX(Assumptions!$D$49:$D$57,MATCH((Assumptions!$D$72*IF(Assumptions!F$203=2027,1+Assumptions!$F$191,1)),Assumptions!$A$49:$A$57,1)))/((Assumptions!$D$72*IF(Assumptions!F$203=2027,1+Assumptions!$F$191,1)))</f>
        <v>0.133594444444444</v>
      </c>
      <c r="G79" s="73" t="n">
        <f aca="false">MAX(0,((Assumptions!$D$72*IF(Assumptions!G$203=2027,1+Assumptions!$F$191,1)))*INDEX(Assumptions!$C$49:$C$57,MATCH((Assumptions!$D$72*IF(Assumptions!G$203=2027,1+Assumptions!$F$191,1)),Assumptions!$A$49:$A$57,1))-INDEX(Assumptions!$D$49:$D$57,MATCH((Assumptions!$D$72*IF(Assumptions!G$203=2027,1+Assumptions!$F$191,1)),Assumptions!$A$49:$A$57,1)))/((Assumptions!$D$72*IF(Assumptions!G$203=2027,1+Assumptions!$F$191,1)))</f>
        <v>0.133594444444444</v>
      </c>
      <c r="H79" s="73" t="n">
        <f aca="false">MAX(0,((Assumptions!$D$72*IF(Assumptions!H$203=2027,1+Assumptions!$F$191,1)))*INDEX(Assumptions!$C$49:$C$57,MATCH((Assumptions!$D$72*IF(Assumptions!H$203=2027,1+Assumptions!$F$191,1)),Assumptions!$A$49:$A$57,1))-INDEX(Assumptions!$D$49:$D$57,MATCH((Assumptions!$D$72*IF(Assumptions!H$203=2027,1+Assumptions!$F$191,1)),Assumptions!$A$49:$A$57,1)))/((Assumptions!$D$72*IF(Assumptions!H$203=2027,1+Assumptions!$F$191,1)))</f>
        <v>0.133594444444444</v>
      </c>
      <c r="I79" s="73" t="n">
        <f aca="false">MAX(0,((Assumptions!$D$72*IF(Assumptions!I$203=2027,1+Assumptions!$F$191,1)))*INDEX(Assumptions!$C$49:$C$57,MATCH((Assumptions!$D$72*IF(Assumptions!I$203=2027,1+Assumptions!$F$191,1)),Assumptions!$A$49:$A$57,1))-INDEX(Assumptions!$D$49:$D$57,MATCH((Assumptions!$D$72*IF(Assumptions!I$203=2027,1+Assumptions!$F$191,1)),Assumptions!$A$49:$A$57,1)))/((Assumptions!$D$72*IF(Assumptions!I$203=2027,1+Assumptions!$F$191,1)))</f>
        <v>0.133594444444444</v>
      </c>
      <c r="J79" s="73" t="n">
        <f aca="false">MAX(0,((Assumptions!$D$72*IF(Assumptions!J$203=2027,1+Assumptions!$F$191,1)))*INDEX(Assumptions!$C$49:$C$57,MATCH((Assumptions!$D$72*IF(Assumptions!J$203=2027,1+Assumptions!$F$191,1)),Assumptions!$A$49:$A$57,1))-INDEX(Assumptions!$D$49:$D$57,MATCH((Assumptions!$D$72*IF(Assumptions!J$203=2027,1+Assumptions!$F$191,1)),Assumptions!$A$49:$A$57,1)))/((Assumptions!$D$72*IF(Assumptions!J$203=2027,1+Assumptions!$F$191,1)))</f>
        <v>0.133594444444444</v>
      </c>
      <c r="K79" s="73" t="n">
        <f aca="false">MAX(0,((Assumptions!$D$72*IF(Assumptions!K$203=2027,1+Assumptions!$F$191,1)))*INDEX(Assumptions!$C$49:$C$57,MATCH((Assumptions!$D$72*IF(Assumptions!K$203=2027,1+Assumptions!$F$191,1)),Assumptions!$A$49:$A$57,1))-INDEX(Assumptions!$D$49:$D$57,MATCH((Assumptions!$D$72*IF(Assumptions!K$203=2027,1+Assumptions!$F$191,1)),Assumptions!$A$49:$A$57,1)))/((Assumptions!$D$72*IF(Assumptions!K$203=2027,1+Assumptions!$F$191,1)))</f>
        <v>0.133594444444444</v>
      </c>
      <c r="L79" s="73" t="n">
        <f aca="false">MAX(0,((Assumptions!$D$72*IF(Assumptions!L$203=2027,1+Assumptions!$F$191,1)))*INDEX(Assumptions!$C$49:$C$57,MATCH((Assumptions!$D$72*IF(Assumptions!L$203=2027,1+Assumptions!$F$191,1)),Assumptions!$A$49:$A$57,1))-INDEX(Assumptions!$D$49:$D$57,MATCH((Assumptions!$D$72*IF(Assumptions!L$203=2027,1+Assumptions!$F$191,1)),Assumptions!$A$49:$A$57,1)))/((Assumptions!$D$72*IF(Assumptions!L$203=2027,1+Assumptions!$F$191,1)))</f>
        <v>0.133594444444444</v>
      </c>
      <c r="M79" s="73" t="n">
        <f aca="false">MAX(0,((Assumptions!$D$72*IF(Assumptions!M$203=2027,1+Assumptions!$F$191,1)))*INDEX(Assumptions!$C$49:$C$57,MATCH((Assumptions!$D$72*IF(Assumptions!M$203=2027,1+Assumptions!$F$191,1)),Assumptions!$A$49:$A$57,1))-INDEX(Assumptions!$D$49:$D$57,MATCH((Assumptions!$D$72*IF(Assumptions!M$203=2027,1+Assumptions!$F$191,1)),Assumptions!$A$49:$A$57,1)))/((Assumptions!$D$72*IF(Assumptions!M$203=2027,1+Assumptions!$F$191,1)))</f>
        <v>0.133594444444444</v>
      </c>
      <c r="N79" s="73" t="n">
        <f aca="false">MAX(0,((Assumptions!$D$72*IF(Assumptions!N$203=2027,1+Assumptions!$F$191,1)))*INDEX(Assumptions!$C$49:$C$57,MATCH((Assumptions!$D$72*IF(Assumptions!N$203=2027,1+Assumptions!$F$191,1)),Assumptions!$A$49:$A$57,1))-INDEX(Assumptions!$D$49:$D$57,MATCH((Assumptions!$D$72*IF(Assumptions!N$203=2027,1+Assumptions!$F$191,1)),Assumptions!$A$49:$A$57,1)))/((Assumptions!$D$72*IF(Assumptions!N$203=2027,1+Assumptions!$F$191,1)))</f>
        <v>0.133594444444444</v>
      </c>
      <c r="O79" s="73" t="n">
        <f aca="false">MAX(0,((Assumptions!$D$72*IF(Assumptions!O$203=2027,1+Assumptions!$F$191,1)))*INDEX(Assumptions!$C$49:$C$57,MATCH((Assumptions!$D$72*IF(Assumptions!O$203=2027,1+Assumptions!$F$191,1)),Assumptions!$A$49:$A$57,1))-INDEX(Assumptions!$D$49:$D$57,MATCH((Assumptions!$D$72*IF(Assumptions!O$203=2027,1+Assumptions!$F$191,1)),Assumptions!$A$49:$A$57,1)))/((Assumptions!$D$72*IF(Assumptions!O$203=2027,1+Assumptions!$F$191,1)))</f>
        <v>0.133594444444444</v>
      </c>
      <c r="P79" s="73" t="n">
        <f aca="false">MAX(0,((Assumptions!$D$72*IF(Assumptions!P$203=2027,1+Assumptions!$F$191,1)))*INDEX(Assumptions!$C$49:$C$57,MATCH((Assumptions!$D$72*IF(Assumptions!P$203=2027,1+Assumptions!$F$191,1)),Assumptions!$A$49:$A$57,1))-INDEX(Assumptions!$D$49:$D$57,MATCH((Assumptions!$D$72*IF(Assumptions!P$203=2027,1+Assumptions!$F$191,1)),Assumptions!$A$49:$A$57,1)))/((Assumptions!$D$72*IF(Assumptions!P$203=2027,1+Assumptions!$F$191,1)))</f>
        <v>0.133594444444444</v>
      </c>
      <c r="Q79" s="73" t="n">
        <f aca="false">MAX(0,((Assumptions!$D$72*IF(Assumptions!Q$203=2027,1+Assumptions!$F$191,1)))*INDEX(Assumptions!$C$49:$C$57,MATCH((Assumptions!$D$72*IF(Assumptions!Q$203=2027,1+Assumptions!$F$191,1)),Assumptions!$A$49:$A$57,1))-INDEX(Assumptions!$D$49:$D$57,MATCH((Assumptions!$D$72*IF(Assumptions!Q$203=2027,1+Assumptions!$F$191,1)),Assumptions!$A$49:$A$57,1)))/((Assumptions!$D$72*IF(Assumptions!Q$203=2027,1+Assumptions!$F$191,1)))</f>
        <v>0.138044228694714</v>
      </c>
      <c r="R79" s="73" t="n">
        <f aca="false">MAX(0,((Assumptions!$D$72*IF(Assumptions!R$203=2027,1+Assumptions!$F$191,1)))*INDEX(Assumptions!$C$49:$C$57,MATCH((Assumptions!$D$72*IF(Assumptions!R$203=2027,1+Assumptions!$F$191,1)),Assumptions!$A$49:$A$57,1))-INDEX(Assumptions!$D$49:$D$57,MATCH((Assumptions!$D$72*IF(Assumptions!R$203=2027,1+Assumptions!$F$191,1)),Assumptions!$A$49:$A$57,1)))/((Assumptions!$D$72*IF(Assumptions!R$203=2027,1+Assumptions!$F$191,1)))</f>
        <v>0.138044228694714</v>
      </c>
      <c r="S79" s="73" t="n">
        <f aca="false">MAX(0,((Assumptions!$D$72*IF(Assumptions!S$203=2027,1+Assumptions!$F$191,1)))*INDEX(Assumptions!$C$49:$C$57,MATCH((Assumptions!$D$72*IF(Assumptions!S$203=2027,1+Assumptions!$F$191,1)),Assumptions!$A$49:$A$57,1))-INDEX(Assumptions!$D$49:$D$57,MATCH((Assumptions!$D$72*IF(Assumptions!S$203=2027,1+Assumptions!$F$191,1)),Assumptions!$A$49:$A$57,1)))/((Assumptions!$D$72*IF(Assumptions!S$203=2027,1+Assumptions!$F$191,1)))</f>
        <v>0.138044228694714</v>
      </c>
      <c r="T79" s="73" t="n">
        <f aca="false">MAX(0,((Assumptions!$D$72*IF(Assumptions!T$203=2027,1+Assumptions!$F$191,1)))*INDEX(Assumptions!$C$49:$C$57,MATCH((Assumptions!$D$72*IF(Assumptions!T$203=2027,1+Assumptions!$F$191,1)),Assumptions!$A$49:$A$57,1))-INDEX(Assumptions!$D$49:$D$57,MATCH((Assumptions!$D$72*IF(Assumptions!T$203=2027,1+Assumptions!$F$191,1)),Assumptions!$A$49:$A$57,1)))/((Assumptions!$D$72*IF(Assumptions!T$203=2027,1+Assumptions!$F$191,1)))</f>
        <v>0.138044228694714</v>
      </c>
      <c r="U79" s="73" t="n">
        <f aca="false">MAX(0,((Assumptions!$D$72*IF(Assumptions!U$203=2027,1+Assumptions!$F$191,1)))*INDEX(Assumptions!$C$49:$C$57,MATCH((Assumptions!$D$72*IF(Assumptions!U$203=2027,1+Assumptions!$F$191,1)),Assumptions!$A$49:$A$57,1))-INDEX(Assumptions!$D$49:$D$57,MATCH((Assumptions!$D$72*IF(Assumptions!U$203=2027,1+Assumptions!$F$191,1)),Assumptions!$A$49:$A$57,1)))/((Assumptions!$D$72*IF(Assumptions!U$203=2027,1+Assumptions!$F$191,1)))</f>
        <v>0.138044228694714</v>
      </c>
      <c r="V79" s="73" t="n">
        <f aca="false">MAX(0,((Assumptions!$D$72*IF(Assumptions!V$203=2027,1+Assumptions!$F$191,1)))*INDEX(Assumptions!$C$49:$C$57,MATCH((Assumptions!$D$72*IF(Assumptions!V$203=2027,1+Assumptions!$F$191,1)),Assumptions!$A$49:$A$57,1))-INDEX(Assumptions!$D$49:$D$57,MATCH((Assumptions!$D$72*IF(Assumptions!V$203=2027,1+Assumptions!$F$191,1)),Assumptions!$A$49:$A$57,1)))/((Assumptions!$D$72*IF(Assumptions!V$203=2027,1+Assumptions!$F$191,1)))</f>
        <v>0.138044228694714</v>
      </c>
      <c r="W79" s="73" t="n">
        <f aca="false">MAX(0,((Assumptions!$D$72*IF(Assumptions!W$203=2027,1+Assumptions!$F$191,1)))*INDEX(Assumptions!$C$49:$C$57,MATCH((Assumptions!$D$72*IF(Assumptions!W$203=2027,1+Assumptions!$F$191,1)),Assumptions!$A$49:$A$57,1))-INDEX(Assumptions!$D$49:$D$57,MATCH((Assumptions!$D$72*IF(Assumptions!W$203=2027,1+Assumptions!$F$191,1)),Assumptions!$A$49:$A$57,1)))/((Assumptions!$D$72*IF(Assumptions!W$203=2027,1+Assumptions!$F$191,1)))</f>
        <v>0.138044228694714</v>
      </c>
      <c r="X79" s="73" t="n">
        <f aca="false">MAX(0,((Assumptions!$D$72*IF(Assumptions!X$203=2027,1+Assumptions!$F$191,1)))*INDEX(Assumptions!$C$49:$C$57,MATCH((Assumptions!$D$72*IF(Assumptions!X$203=2027,1+Assumptions!$F$191,1)),Assumptions!$A$49:$A$57,1))-INDEX(Assumptions!$D$49:$D$57,MATCH((Assumptions!$D$72*IF(Assumptions!X$203=2027,1+Assumptions!$F$191,1)),Assumptions!$A$49:$A$57,1)))/((Assumptions!$D$72*IF(Assumptions!X$203=2027,1+Assumptions!$F$191,1)))</f>
        <v>0.138044228694714</v>
      </c>
      <c r="Y79" s="73" t="n">
        <f aca="false">MAX(0,((Assumptions!$D$72*IF(Assumptions!Y$203=2027,1+Assumptions!$F$191,1)))*INDEX(Assumptions!$C$49:$C$57,MATCH((Assumptions!$D$72*IF(Assumptions!Y$203=2027,1+Assumptions!$F$191,1)),Assumptions!$A$49:$A$57,1))-INDEX(Assumptions!$D$49:$D$57,MATCH((Assumptions!$D$72*IF(Assumptions!Y$203=2027,1+Assumptions!$F$191,1)),Assumptions!$A$49:$A$57,1)))/((Assumptions!$D$72*IF(Assumptions!Y$203=2027,1+Assumptions!$F$191,1)))</f>
        <v>0.138044228694714</v>
      </c>
      <c r="Z79" s="73" t="n">
        <f aca="false">MAX(0,((Assumptions!$D$72*IF(Assumptions!Z$203=2027,1+Assumptions!$F$191,1)))*INDEX(Assumptions!$C$49:$C$57,MATCH((Assumptions!$D$72*IF(Assumptions!Z$203=2027,1+Assumptions!$F$191,1)),Assumptions!$A$49:$A$57,1))-INDEX(Assumptions!$D$49:$D$57,MATCH((Assumptions!$D$72*IF(Assumptions!Z$203=2027,1+Assumptions!$F$191,1)),Assumptions!$A$49:$A$57,1)))/((Assumptions!$D$72*IF(Assumptions!Z$203=2027,1+Assumptions!$F$191,1)))</f>
        <v>0.138044228694714</v>
      </c>
      <c r="AA79" s="73" t="n">
        <f aca="false">MAX(0,((Assumptions!$D$72*IF(Assumptions!AA$203=2027,1+Assumptions!$F$191,1)))*INDEX(Assumptions!$C$49:$C$57,MATCH((Assumptions!$D$72*IF(Assumptions!AA$203=2027,1+Assumptions!$F$191,1)),Assumptions!$A$49:$A$57,1))-INDEX(Assumptions!$D$49:$D$57,MATCH((Assumptions!$D$72*IF(Assumptions!AA$203=2027,1+Assumptions!$F$191,1)),Assumptions!$A$49:$A$57,1)))/((Assumptions!$D$72*IF(Assumptions!AA$203=2027,1+Assumptions!$F$191,1)))</f>
        <v>0.138044228694714</v>
      </c>
      <c r="AB79" s="73" t="n">
        <f aca="false">MAX(0,((Assumptions!$D$72*IF(Assumptions!AB$203=2027,1+Assumptions!$F$191,1)))*INDEX(Assumptions!$C$49:$C$57,MATCH((Assumptions!$D$72*IF(Assumptions!AB$203=2027,1+Assumptions!$F$191,1)),Assumptions!$A$49:$A$57,1))-INDEX(Assumptions!$D$49:$D$57,MATCH((Assumptions!$D$72*IF(Assumptions!AB$203=2027,1+Assumptions!$F$191,1)),Assumptions!$A$49:$A$57,1)))/((Assumptions!$D$72*IF(Assumptions!AB$203=2027,1+Assumptions!$F$191,1)))</f>
        <v>0.138044228694714</v>
      </c>
    </row>
    <row r="80" customFormat="false" ht="15" hidden="false" customHeight="false" outlineLevel="0" collapsed="false">
      <c r="A80" s="27" t="s">
        <v>1151</v>
      </c>
      <c r="B80" s="63" t="s">
        <v>1139</v>
      </c>
      <c r="C80" s="72" t="n">
        <f aca="false">AVERAGE(E80:P80)</f>
        <v>0.290576</v>
      </c>
      <c r="D80" s="72" t="n">
        <f aca="false">AVERAGE(Q80:AB80)</f>
        <v>0.293672815533981</v>
      </c>
      <c r="E80" s="73" t="n">
        <f aca="false">MAX(0,((Assumptions!$D$73*IF(Assumptions!E$203=2027,1+Assumptions!$F$191,1)))*INDEX(Assumptions!$C$49:$C$57,MATCH((Assumptions!$D$73*IF(Assumptions!E$203=2027,1+Assumptions!$F$191,1)),Assumptions!$A$49:$A$57,1))-INDEX(Assumptions!$D$49:$D$57,MATCH((Assumptions!$D$73*IF(Assumptions!E$203=2027,1+Assumptions!$F$191,1)),Assumptions!$A$49:$A$57,1)))/((Assumptions!$D$73*IF(Assumptions!E$203=2027,1+Assumptions!$F$191,1)))</f>
        <v>0.290576</v>
      </c>
      <c r="F80" s="73" t="n">
        <f aca="false">MAX(0,((Assumptions!$D$73*IF(Assumptions!F$203=2027,1+Assumptions!$F$191,1)))*INDEX(Assumptions!$C$49:$C$57,MATCH((Assumptions!$D$73*IF(Assumptions!F$203=2027,1+Assumptions!$F$191,1)),Assumptions!$A$49:$A$57,1))-INDEX(Assumptions!$D$49:$D$57,MATCH((Assumptions!$D$73*IF(Assumptions!F$203=2027,1+Assumptions!$F$191,1)),Assumptions!$A$49:$A$57,1)))/((Assumptions!$D$73*IF(Assumptions!F$203=2027,1+Assumptions!$F$191,1)))</f>
        <v>0.290576</v>
      </c>
      <c r="G80" s="73" t="n">
        <f aca="false">MAX(0,((Assumptions!$D$73*IF(Assumptions!G$203=2027,1+Assumptions!$F$191,1)))*INDEX(Assumptions!$C$49:$C$57,MATCH((Assumptions!$D$73*IF(Assumptions!G$203=2027,1+Assumptions!$F$191,1)),Assumptions!$A$49:$A$57,1))-INDEX(Assumptions!$D$49:$D$57,MATCH((Assumptions!$D$73*IF(Assumptions!G$203=2027,1+Assumptions!$F$191,1)),Assumptions!$A$49:$A$57,1)))/((Assumptions!$D$73*IF(Assumptions!G$203=2027,1+Assumptions!$F$191,1)))</f>
        <v>0.290576</v>
      </c>
      <c r="H80" s="73" t="n">
        <f aca="false">MAX(0,((Assumptions!$D$73*IF(Assumptions!H$203=2027,1+Assumptions!$F$191,1)))*INDEX(Assumptions!$C$49:$C$57,MATCH((Assumptions!$D$73*IF(Assumptions!H$203=2027,1+Assumptions!$F$191,1)),Assumptions!$A$49:$A$57,1))-INDEX(Assumptions!$D$49:$D$57,MATCH((Assumptions!$D$73*IF(Assumptions!H$203=2027,1+Assumptions!$F$191,1)),Assumptions!$A$49:$A$57,1)))/((Assumptions!$D$73*IF(Assumptions!H$203=2027,1+Assumptions!$F$191,1)))</f>
        <v>0.290576</v>
      </c>
      <c r="I80" s="73" t="n">
        <f aca="false">MAX(0,((Assumptions!$D$73*IF(Assumptions!I$203=2027,1+Assumptions!$F$191,1)))*INDEX(Assumptions!$C$49:$C$57,MATCH((Assumptions!$D$73*IF(Assumptions!I$203=2027,1+Assumptions!$F$191,1)),Assumptions!$A$49:$A$57,1))-INDEX(Assumptions!$D$49:$D$57,MATCH((Assumptions!$D$73*IF(Assumptions!I$203=2027,1+Assumptions!$F$191,1)),Assumptions!$A$49:$A$57,1)))/((Assumptions!$D$73*IF(Assumptions!I$203=2027,1+Assumptions!$F$191,1)))</f>
        <v>0.290576</v>
      </c>
      <c r="J80" s="73" t="n">
        <f aca="false">MAX(0,((Assumptions!$D$73*IF(Assumptions!J$203=2027,1+Assumptions!$F$191,1)))*INDEX(Assumptions!$C$49:$C$57,MATCH((Assumptions!$D$73*IF(Assumptions!J$203=2027,1+Assumptions!$F$191,1)),Assumptions!$A$49:$A$57,1))-INDEX(Assumptions!$D$49:$D$57,MATCH((Assumptions!$D$73*IF(Assumptions!J$203=2027,1+Assumptions!$F$191,1)),Assumptions!$A$49:$A$57,1)))/((Assumptions!$D$73*IF(Assumptions!J$203=2027,1+Assumptions!$F$191,1)))</f>
        <v>0.290576</v>
      </c>
      <c r="K80" s="73" t="n">
        <f aca="false">MAX(0,((Assumptions!$D$73*IF(Assumptions!K$203=2027,1+Assumptions!$F$191,1)))*INDEX(Assumptions!$C$49:$C$57,MATCH((Assumptions!$D$73*IF(Assumptions!K$203=2027,1+Assumptions!$F$191,1)),Assumptions!$A$49:$A$57,1))-INDEX(Assumptions!$D$49:$D$57,MATCH((Assumptions!$D$73*IF(Assumptions!K$203=2027,1+Assumptions!$F$191,1)),Assumptions!$A$49:$A$57,1)))/((Assumptions!$D$73*IF(Assumptions!K$203=2027,1+Assumptions!$F$191,1)))</f>
        <v>0.290576</v>
      </c>
      <c r="L80" s="73" t="n">
        <f aca="false">MAX(0,((Assumptions!$D$73*IF(Assumptions!L$203=2027,1+Assumptions!$F$191,1)))*INDEX(Assumptions!$C$49:$C$57,MATCH((Assumptions!$D$73*IF(Assumptions!L$203=2027,1+Assumptions!$F$191,1)),Assumptions!$A$49:$A$57,1))-INDEX(Assumptions!$D$49:$D$57,MATCH((Assumptions!$D$73*IF(Assumptions!L$203=2027,1+Assumptions!$F$191,1)),Assumptions!$A$49:$A$57,1)))/((Assumptions!$D$73*IF(Assumptions!L$203=2027,1+Assumptions!$F$191,1)))</f>
        <v>0.290576</v>
      </c>
      <c r="M80" s="73" t="n">
        <f aca="false">MAX(0,((Assumptions!$D$73*IF(Assumptions!M$203=2027,1+Assumptions!$F$191,1)))*INDEX(Assumptions!$C$49:$C$57,MATCH((Assumptions!$D$73*IF(Assumptions!M$203=2027,1+Assumptions!$F$191,1)),Assumptions!$A$49:$A$57,1))-INDEX(Assumptions!$D$49:$D$57,MATCH((Assumptions!$D$73*IF(Assumptions!M$203=2027,1+Assumptions!$F$191,1)),Assumptions!$A$49:$A$57,1)))/((Assumptions!$D$73*IF(Assumptions!M$203=2027,1+Assumptions!$F$191,1)))</f>
        <v>0.290576</v>
      </c>
      <c r="N80" s="73" t="n">
        <f aca="false">MAX(0,((Assumptions!$D$73*IF(Assumptions!N$203=2027,1+Assumptions!$F$191,1)))*INDEX(Assumptions!$C$49:$C$57,MATCH((Assumptions!$D$73*IF(Assumptions!N$203=2027,1+Assumptions!$F$191,1)),Assumptions!$A$49:$A$57,1))-INDEX(Assumptions!$D$49:$D$57,MATCH((Assumptions!$D$73*IF(Assumptions!N$203=2027,1+Assumptions!$F$191,1)),Assumptions!$A$49:$A$57,1)))/((Assumptions!$D$73*IF(Assumptions!N$203=2027,1+Assumptions!$F$191,1)))</f>
        <v>0.290576</v>
      </c>
      <c r="O80" s="73" t="n">
        <f aca="false">MAX(0,((Assumptions!$D$73*IF(Assumptions!O$203=2027,1+Assumptions!$F$191,1)))*INDEX(Assumptions!$C$49:$C$57,MATCH((Assumptions!$D$73*IF(Assumptions!O$203=2027,1+Assumptions!$F$191,1)),Assumptions!$A$49:$A$57,1))-INDEX(Assumptions!$D$49:$D$57,MATCH((Assumptions!$D$73*IF(Assumptions!O$203=2027,1+Assumptions!$F$191,1)),Assumptions!$A$49:$A$57,1)))/((Assumptions!$D$73*IF(Assumptions!O$203=2027,1+Assumptions!$F$191,1)))</f>
        <v>0.290576</v>
      </c>
      <c r="P80" s="73" t="n">
        <f aca="false">MAX(0,((Assumptions!$D$73*IF(Assumptions!P$203=2027,1+Assumptions!$F$191,1)))*INDEX(Assumptions!$C$49:$C$57,MATCH((Assumptions!$D$73*IF(Assumptions!P$203=2027,1+Assumptions!$F$191,1)),Assumptions!$A$49:$A$57,1))-INDEX(Assumptions!$D$49:$D$57,MATCH((Assumptions!$D$73*IF(Assumptions!P$203=2027,1+Assumptions!$F$191,1)),Assumptions!$A$49:$A$57,1)))/((Assumptions!$D$73*IF(Assumptions!P$203=2027,1+Assumptions!$F$191,1)))</f>
        <v>0.290576</v>
      </c>
      <c r="Q80" s="73" t="n">
        <f aca="false">MAX(0,((Assumptions!$D$73*IF(Assumptions!Q$203=2027,1+Assumptions!$F$191,1)))*INDEX(Assumptions!$C$49:$C$57,MATCH((Assumptions!$D$73*IF(Assumptions!Q$203=2027,1+Assumptions!$F$191,1)),Assumptions!$A$49:$A$57,1))-INDEX(Assumptions!$D$49:$D$57,MATCH((Assumptions!$D$73*IF(Assumptions!Q$203=2027,1+Assumptions!$F$191,1)),Assumptions!$A$49:$A$57,1)))/((Assumptions!$D$73*IF(Assumptions!Q$203=2027,1+Assumptions!$F$191,1)))</f>
        <v>0.293672815533981</v>
      </c>
      <c r="R80" s="73" t="n">
        <f aca="false">MAX(0,((Assumptions!$D$73*IF(Assumptions!R$203=2027,1+Assumptions!$F$191,1)))*INDEX(Assumptions!$C$49:$C$57,MATCH((Assumptions!$D$73*IF(Assumptions!R$203=2027,1+Assumptions!$F$191,1)),Assumptions!$A$49:$A$57,1))-INDEX(Assumptions!$D$49:$D$57,MATCH((Assumptions!$D$73*IF(Assumptions!R$203=2027,1+Assumptions!$F$191,1)),Assumptions!$A$49:$A$57,1)))/((Assumptions!$D$73*IF(Assumptions!R$203=2027,1+Assumptions!$F$191,1)))</f>
        <v>0.293672815533981</v>
      </c>
      <c r="S80" s="73" t="n">
        <f aca="false">MAX(0,((Assumptions!$D$73*IF(Assumptions!S$203=2027,1+Assumptions!$F$191,1)))*INDEX(Assumptions!$C$49:$C$57,MATCH((Assumptions!$D$73*IF(Assumptions!S$203=2027,1+Assumptions!$F$191,1)),Assumptions!$A$49:$A$57,1))-INDEX(Assumptions!$D$49:$D$57,MATCH((Assumptions!$D$73*IF(Assumptions!S$203=2027,1+Assumptions!$F$191,1)),Assumptions!$A$49:$A$57,1)))/((Assumptions!$D$73*IF(Assumptions!S$203=2027,1+Assumptions!$F$191,1)))</f>
        <v>0.293672815533981</v>
      </c>
      <c r="T80" s="73" t="n">
        <f aca="false">MAX(0,((Assumptions!$D$73*IF(Assumptions!T$203=2027,1+Assumptions!$F$191,1)))*INDEX(Assumptions!$C$49:$C$57,MATCH((Assumptions!$D$73*IF(Assumptions!T$203=2027,1+Assumptions!$F$191,1)),Assumptions!$A$49:$A$57,1))-INDEX(Assumptions!$D$49:$D$57,MATCH((Assumptions!$D$73*IF(Assumptions!T$203=2027,1+Assumptions!$F$191,1)),Assumptions!$A$49:$A$57,1)))/((Assumptions!$D$73*IF(Assumptions!T$203=2027,1+Assumptions!$F$191,1)))</f>
        <v>0.293672815533981</v>
      </c>
      <c r="U80" s="73" t="n">
        <f aca="false">MAX(0,((Assumptions!$D$73*IF(Assumptions!U$203=2027,1+Assumptions!$F$191,1)))*INDEX(Assumptions!$C$49:$C$57,MATCH((Assumptions!$D$73*IF(Assumptions!U$203=2027,1+Assumptions!$F$191,1)),Assumptions!$A$49:$A$57,1))-INDEX(Assumptions!$D$49:$D$57,MATCH((Assumptions!$D$73*IF(Assumptions!U$203=2027,1+Assumptions!$F$191,1)),Assumptions!$A$49:$A$57,1)))/((Assumptions!$D$73*IF(Assumptions!U$203=2027,1+Assumptions!$F$191,1)))</f>
        <v>0.293672815533981</v>
      </c>
      <c r="V80" s="73" t="n">
        <f aca="false">MAX(0,((Assumptions!$D$73*IF(Assumptions!V$203=2027,1+Assumptions!$F$191,1)))*INDEX(Assumptions!$C$49:$C$57,MATCH((Assumptions!$D$73*IF(Assumptions!V$203=2027,1+Assumptions!$F$191,1)),Assumptions!$A$49:$A$57,1))-INDEX(Assumptions!$D$49:$D$57,MATCH((Assumptions!$D$73*IF(Assumptions!V$203=2027,1+Assumptions!$F$191,1)),Assumptions!$A$49:$A$57,1)))/((Assumptions!$D$73*IF(Assumptions!V$203=2027,1+Assumptions!$F$191,1)))</f>
        <v>0.293672815533981</v>
      </c>
      <c r="W80" s="73" t="n">
        <f aca="false">MAX(0,((Assumptions!$D$73*IF(Assumptions!W$203=2027,1+Assumptions!$F$191,1)))*INDEX(Assumptions!$C$49:$C$57,MATCH((Assumptions!$D$73*IF(Assumptions!W$203=2027,1+Assumptions!$F$191,1)),Assumptions!$A$49:$A$57,1))-INDEX(Assumptions!$D$49:$D$57,MATCH((Assumptions!$D$73*IF(Assumptions!W$203=2027,1+Assumptions!$F$191,1)),Assumptions!$A$49:$A$57,1)))/((Assumptions!$D$73*IF(Assumptions!W$203=2027,1+Assumptions!$F$191,1)))</f>
        <v>0.293672815533981</v>
      </c>
      <c r="X80" s="73" t="n">
        <f aca="false">MAX(0,((Assumptions!$D$73*IF(Assumptions!X$203=2027,1+Assumptions!$F$191,1)))*INDEX(Assumptions!$C$49:$C$57,MATCH((Assumptions!$D$73*IF(Assumptions!X$203=2027,1+Assumptions!$F$191,1)),Assumptions!$A$49:$A$57,1))-INDEX(Assumptions!$D$49:$D$57,MATCH((Assumptions!$D$73*IF(Assumptions!X$203=2027,1+Assumptions!$F$191,1)),Assumptions!$A$49:$A$57,1)))/((Assumptions!$D$73*IF(Assumptions!X$203=2027,1+Assumptions!$F$191,1)))</f>
        <v>0.293672815533981</v>
      </c>
      <c r="Y80" s="73" t="n">
        <f aca="false">MAX(0,((Assumptions!$D$73*IF(Assumptions!Y$203=2027,1+Assumptions!$F$191,1)))*INDEX(Assumptions!$C$49:$C$57,MATCH((Assumptions!$D$73*IF(Assumptions!Y$203=2027,1+Assumptions!$F$191,1)),Assumptions!$A$49:$A$57,1))-INDEX(Assumptions!$D$49:$D$57,MATCH((Assumptions!$D$73*IF(Assumptions!Y$203=2027,1+Assumptions!$F$191,1)),Assumptions!$A$49:$A$57,1)))/((Assumptions!$D$73*IF(Assumptions!Y$203=2027,1+Assumptions!$F$191,1)))</f>
        <v>0.293672815533981</v>
      </c>
      <c r="Z80" s="73" t="n">
        <f aca="false">MAX(0,((Assumptions!$D$73*IF(Assumptions!Z$203=2027,1+Assumptions!$F$191,1)))*INDEX(Assumptions!$C$49:$C$57,MATCH((Assumptions!$D$73*IF(Assumptions!Z$203=2027,1+Assumptions!$F$191,1)),Assumptions!$A$49:$A$57,1))-INDEX(Assumptions!$D$49:$D$57,MATCH((Assumptions!$D$73*IF(Assumptions!Z$203=2027,1+Assumptions!$F$191,1)),Assumptions!$A$49:$A$57,1)))/((Assumptions!$D$73*IF(Assumptions!Z$203=2027,1+Assumptions!$F$191,1)))</f>
        <v>0.293672815533981</v>
      </c>
      <c r="AA80" s="73" t="n">
        <f aca="false">MAX(0,((Assumptions!$D$73*IF(Assumptions!AA$203=2027,1+Assumptions!$F$191,1)))*INDEX(Assumptions!$C$49:$C$57,MATCH((Assumptions!$D$73*IF(Assumptions!AA$203=2027,1+Assumptions!$F$191,1)),Assumptions!$A$49:$A$57,1))-INDEX(Assumptions!$D$49:$D$57,MATCH((Assumptions!$D$73*IF(Assumptions!AA$203=2027,1+Assumptions!$F$191,1)),Assumptions!$A$49:$A$57,1)))/((Assumptions!$D$73*IF(Assumptions!AA$203=2027,1+Assumptions!$F$191,1)))</f>
        <v>0.293672815533981</v>
      </c>
      <c r="AB80" s="73" t="n">
        <f aca="false">MAX(0,((Assumptions!$D$73*IF(Assumptions!AB$203=2027,1+Assumptions!$F$191,1)))*INDEX(Assumptions!$C$49:$C$57,MATCH((Assumptions!$D$73*IF(Assumptions!AB$203=2027,1+Assumptions!$F$191,1)),Assumptions!$A$49:$A$57,1))-INDEX(Assumptions!$D$49:$D$57,MATCH((Assumptions!$D$73*IF(Assumptions!AB$203=2027,1+Assumptions!$F$191,1)),Assumptions!$A$49:$A$57,1)))/((Assumptions!$D$73*IF(Assumptions!AB$203=2027,1+Assumptions!$F$191,1)))</f>
        <v>0.293672815533981</v>
      </c>
    </row>
    <row r="81" customFormat="false" ht="15" hidden="false" customHeight="false" outlineLevel="0" collapsed="false">
      <c r="A81" s="27" t="s">
        <v>1152</v>
      </c>
      <c r="B81" s="63" t="s">
        <v>1139</v>
      </c>
      <c r="C81" s="72" t="n">
        <f aca="false">AVERAGE(E81:P81)</f>
        <v>0.15067</v>
      </c>
      <c r="D81" s="72" t="n">
        <f aca="false">AVERAGE(Q81:AB81)</f>
        <v>0.155339805825243</v>
      </c>
      <c r="E81" s="73" t="n">
        <f aca="false">MAX(0,((Assumptions!$D$74*IF(Assumptions!E$203=2027,1+Assumptions!$F$191,1)))*INDEX(Assumptions!$C$49:$C$57,MATCH((Assumptions!$D$74*IF(Assumptions!E$203=2027,1+Assumptions!$F$191,1)),Assumptions!$A$49:$A$57,1))-INDEX(Assumptions!$D$49:$D$57,MATCH((Assumptions!$D$74*IF(Assumptions!E$203=2027,1+Assumptions!$F$191,1)),Assumptions!$A$49:$A$57,1)))/((Assumptions!$D$74*IF(Assumptions!E$203=2027,1+Assumptions!$F$191,1)))</f>
        <v>0.15067</v>
      </c>
      <c r="F81" s="73" t="n">
        <f aca="false">MAX(0,((Assumptions!$D$74*IF(Assumptions!F$203=2027,1+Assumptions!$F$191,1)))*INDEX(Assumptions!$C$49:$C$57,MATCH((Assumptions!$D$74*IF(Assumptions!F$203=2027,1+Assumptions!$F$191,1)),Assumptions!$A$49:$A$57,1))-INDEX(Assumptions!$D$49:$D$57,MATCH((Assumptions!$D$74*IF(Assumptions!F$203=2027,1+Assumptions!$F$191,1)),Assumptions!$A$49:$A$57,1)))/((Assumptions!$D$74*IF(Assumptions!F$203=2027,1+Assumptions!$F$191,1)))</f>
        <v>0.15067</v>
      </c>
      <c r="G81" s="73" t="n">
        <f aca="false">MAX(0,((Assumptions!$D$74*IF(Assumptions!G$203=2027,1+Assumptions!$F$191,1)))*INDEX(Assumptions!$C$49:$C$57,MATCH((Assumptions!$D$74*IF(Assumptions!G$203=2027,1+Assumptions!$F$191,1)),Assumptions!$A$49:$A$57,1))-INDEX(Assumptions!$D$49:$D$57,MATCH((Assumptions!$D$74*IF(Assumptions!G$203=2027,1+Assumptions!$F$191,1)),Assumptions!$A$49:$A$57,1)))/((Assumptions!$D$74*IF(Assumptions!G$203=2027,1+Assumptions!$F$191,1)))</f>
        <v>0.15067</v>
      </c>
      <c r="H81" s="73" t="n">
        <f aca="false">MAX(0,((Assumptions!$D$74*IF(Assumptions!H$203=2027,1+Assumptions!$F$191,1)))*INDEX(Assumptions!$C$49:$C$57,MATCH((Assumptions!$D$74*IF(Assumptions!H$203=2027,1+Assumptions!$F$191,1)),Assumptions!$A$49:$A$57,1))-INDEX(Assumptions!$D$49:$D$57,MATCH((Assumptions!$D$74*IF(Assumptions!H$203=2027,1+Assumptions!$F$191,1)),Assumptions!$A$49:$A$57,1)))/((Assumptions!$D$74*IF(Assumptions!H$203=2027,1+Assumptions!$F$191,1)))</f>
        <v>0.15067</v>
      </c>
      <c r="I81" s="73" t="n">
        <f aca="false">MAX(0,((Assumptions!$D$74*IF(Assumptions!I$203=2027,1+Assumptions!$F$191,1)))*INDEX(Assumptions!$C$49:$C$57,MATCH((Assumptions!$D$74*IF(Assumptions!I$203=2027,1+Assumptions!$F$191,1)),Assumptions!$A$49:$A$57,1))-INDEX(Assumptions!$D$49:$D$57,MATCH((Assumptions!$D$74*IF(Assumptions!I$203=2027,1+Assumptions!$F$191,1)),Assumptions!$A$49:$A$57,1)))/((Assumptions!$D$74*IF(Assumptions!I$203=2027,1+Assumptions!$F$191,1)))</f>
        <v>0.15067</v>
      </c>
      <c r="J81" s="73" t="n">
        <f aca="false">MAX(0,((Assumptions!$D$74*IF(Assumptions!J$203=2027,1+Assumptions!$F$191,1)))*INDEX(Assumptions!$C$49:$C$57,MATCH((Assumptions!$D$74*IF(Assumptions!J$203=2027,1+Assumptions!$F$191,1)),Assumptions!$A$49:$A$57,1))-INDEX(Assumptions!$D$49:$D$57,MATCH((Assumptions!$D$74*IF(Assumptions!J$203=2027,1+Assumptions!$F$191,1)),Assumptions!$A$49:$A$57,1)))/((Assumptions!$D$74*IF(Assumptions!J$203=2027,1+Assumptions!$F$191,1)))</f>
        <v>0.15067</v>
      </c>
      <c r="K81" s="73" t="n">
        <f aca="false">MAX(0,((Assumptions!$D$74*IF(Assumptions!K$203=2027,1+Assumptions!$F$191,1)))*INDEX(Assumptions!$C$49:$C$57,MATCH((Assumptions!$D$74*IF(Assumptions!K$203=2027,1+Assumptions!$F$191,1)),Assumptions!$A$49:$A$57,1))-INDEX(Assumptions!$D$49:$D$57,MATCH((Assumptions!$D$74*IF(Assumptions!K$203=2027,1+Assumptions!$F$191,1)),Assumptions!$A$49:$A$57,1)))/((Assumptions!$D$74*IF(Assumptions!K$203=2027,1+Assumptions!$F$191,1)))</f>
        <v>0.15067</v>
      </c>
      <c r="L81" s="73" t="n">
        <f aca="false">MAX(0,((Assumptions!$D$74*IF(Assumptions!L$203=2027,1+Assumptions!$F$191,1)))*INDEX(Assumptions!$C$49:$C$57,MATCH((Assumptions!$D$74*IF(Assumptions!L$203=2027,1+Assumptions!$F$191,1)),Assumptions!$A$49:$A$57,1))-INDEX(Assumptions!$D$49:$D$57,MATCH((Assumptions!$D$74*IF(Assumptions!L$203=2027,1+Assumptions!$F$191,1)),Assumptions!$A$49:$A$57,1)))/((Assumptions!$D$74*IF(Assumptions!L$203=2027,1+Assumptions!$F$191,1)))</f>
        <v>0.15067</v>
      </c>
      <c r="M81" s="73" t="n">
        <f aca="false">MAX(0,((Assumptions!$D$74*IF(Assumptions!M$203=2027,1+Assumptions!$F$191,1)))*INDEX(Assumptions!$C$49:$C$57,MATCH((Assumptions!$D$74*IF(Assumptions!M$203=2027,1+Assumptions!$F$191,1)),Assumptions!$A$49:$A$57,1))-INDEX(Assumptions!$D$49:$D$57,MATCH((Assumptions!$D$74*IF(Assumptions!M$203=2027,1+Assumptions!$F$191,1)),Assumptions!$A$49:$A$57,1)))/((Assumptions!$D$74*IF(Assumptions!M$203=2027,1+Assumptions!$F$191,1)))</f>
        <v>0.15067</v>
      </c>
      <c r="N81" s="73" t="n">
        <f aca="false">MAX(0,((Assumptions!$D$74*IF(Assumptions!N$203=2027,1+Assumptions!$F$191,1)))*INDEX(Assumptions!$C$49:$C$57,MATCH((Assumptions!$D$74*IF(Assumptions!N$203=2027,1+Assumptions!$F$191,1)),Assumptions!$A$49:$A$57,1))-INDEX(Assumptions!$D$49:$D$57,MATCH((Assumptions!$D$74*IF(Assumptions!N$203=2027,1+Assumptions!$F$191,1)),Assumptions!$A$49:$A$57,1)))/((Assumptions!$D$74*IF(Assumptions!N$203=2027,1+Assumptions!$F$191,1)))</f>
        <v>0.15067</v>
      </c>
      <c r="O81" s="73" t="n">
        <f aca="false">MAX(0,((Assumptions!$D$74*IF(Assumptions!O$203=2027,1+Assumptions!$F$191,1)))*INDEX(Assumptions!$C$49:$C$57,MATCH((Assumptions!$D$74*IF(Assumptions!O$203=2027,1+Assumptions!$F$191,1)),Assumptions!$A$49:$A$57,1))-INDEX(Assumptions!$D$49:$D$57,MATCH((Assumptions!$D$74*IF(Assumptions!O$203=2027,1+Assumptions!$F$191,1)),Assumptions!$A$49:$A$57,1)))/((Assumptions!$D$74*IF(Assumptions!O$203=2027,1+Assumptions!$F$191,1)))</f>
        <v>0.15067</v>
      </c>
      <c r="P81" s="73" t="n">
        <f aca="false">MAX(0,((Assumptions!$D$74*IF(Assumptions!P$203=2027,1+Assumptions!$F$191,1)))*INDEX(Assumptions!$C$49:$C$57,MATCH((Assumptions!$D$74*IF(Assumptions!P$203=2027,1+Assumptions!$F$191,1)),Assumptions!$A$49:$A$57,1))-INDEX(Assumptions!$D$49:$D$57,MATCH((Assumptions!$D$74*IF(Assumptions!P$203=2027,1+Assumptions!$F$191,1)),Assumptions!$A$49:$A$57,1)))/((Assumptions!$D$74*IF(Assumptions!P$203=2027,1+Assumptions!$F$191,1)))</f>
        <v>0.15067</v>
      </c>
      <c r="Q81" s="73" t="n">
        <f aca="false">MAX(0,((Assumptions!$D$74*IF(Assumptions!Q$203=2027,1+Assumptions!$F$191,1)))*INDEX(Assumptions!$C$49:$C$57,MATCH((Assumptions!$D$74*IF(Assumptions!Q$203=2027,1+Assumptions!$F$191,1)),Assumptions!$A$49:$A$57,1))-INDEX(Assumptions!$D$49:$D$57,MATCH((Assumptions!$D$74*IF(Assumptions!Q$203=2027,1+Assumptions!$F$191,1)),Assumptions!$A$49:$A$57,1)))/((Assumptions!$D$74*IF(Assumptions!Q$203=2027,1+Assumptions!$F$191,1)))</f>
        <v>0.155339805825243</v>
      </c>
      <c r="R81" s="73" t="n">
        <f aca="false">MAX(0,((Assumptions!$D$74*IF(Assumptions!R$203=2027,1+Assumptions!$F$191,1)))*INDEX(Assumptions!$C$49:$C$57,MATCH((Assumptions!$D$74*IF(Assumptions!R$203=2027,1+Assumptions!$F$191,1)),Assumptions!$A$49:$A$57,1))-INDEX(Assumptions!$D$49:$D$57,MATCH((Assumptions!$D$74*IF(Assumptions!R$203=2027,1+Assumptions!$F$191,1)),Assumptions!$A$49:$A$57,1)))/((Assumptions!$D$74*IF(Assumptions!R$203=2027,1+Assumptions!$F$191,1)))</f>
        <v>0.155339805825243</v>
      </c>
      <c r="S81" s="73" t="n">
        <f aca="false">MAX(0,((Assumptions!$D$74*IF(Assumptions!S$203=2027,1+Assumptions!$F$191,1)))*INDEX(Assumptions!$C$49:$C$57,MATCH((Assumptions!$D$74*IF(Assumptions!S$203=2027,1+Assumptions!$F$191,1)),Assumptions!$A$49:$A$57,1))-INDEX(Assumptions!$D$49:$D$57,MATCH((Assumptions!$D$74*IF(Assumptions!S$203=2027,1+Assumptions!$F$191,1)),Assumptions!$A$49:$A$57,1)))/((Assumptions!$D$74*IF(Assumptions!S$203=2027,1+Assumptions!$F$191,1)))</f>
        <v>0.155339805825243</v>
      </c>
      <c r="T81" s="73" t="n">
        <f aca="false">MAX(0,((Assumptions!$D$74*IF(Assumptions!T$203=2027,1+Assumptions!$F$191,1)))*INDEX(Assumptions!$C$49:$C$57,MATCH((Assumptions!$D$74*IF(Assumptions!T$203=2027,1+Assumptions!$F$191,1)),Assumptions!$A$49:$A$57,1))-INDEX(Assumptions!$D$49:$D$57,MATCH((Assumptions!$D$74*IF(Assumptions!T$203=2027,1+Assumptions!$F$191,1)),Assumptions!$A$49:$A$57,1)))/((Assumptions!$D$74*IF(Assumptions!T$203=2027,1+Assumptions!$F$191,1)))</f>
        <v>0.155339805825243</v>
      </c>
      <c r="U81" s="73" t="n">
        <f aca="false">MAX(0,((Assumptions!$D$74*IF(Assumptions!U$203=2027,1+Assumptions!$F$191,1)))*INDEX(Assumptions!$C$49:$C$57,MATCH((Assumptions!$D$74*IF(Assumptions!U$203=2027,1+Assumptions!$F$191,1)),Assumptions!$A$49:$A$57,1))-INDEX(Assumptions!$D$49:$D$57,MATCH((Assumptions!$D$74*IF(Assumptions!U$203=2027,1+Assumptions!$F$191,1)),Assumptions!$A$49:$A$57,1)))/((Assumptions!$D$74*IF(Assumptions!U$203=2027,1+Assumptions!$F$191,1)))</f>
        <v>0.155339805825243</v>
      </c>
      <c r="V81" s="73" t="n">
        <f aca="false">MAX(0,((Assumptions!$D$74*IF(Assumptions!V$203=2027,1+Assumptions!$F$191,1)))*INDEX(Assumptions!$C$49:$C$57,MATCH((Assumptions!$D$74*IF(Assumptions!V$203=2027,1+Assumptions!$F$191,1)),Assumptions!$A$49:$A$57,1))-INDEX(Assumptions!$D$49:$D$57,MATCH((Assumptions!$D$74*IF(Assumptions!V$203=2027,1+Assumptions!$F$191,1)),Assumptions!$A$49:$A$57,1)))/((Assumptions!$D$74*IF(Assumptions!V$203=2027,1+Assumptions!$F$191,1)))</f>
        <v>0.155339805825243</v>
      </c>
      <c r="W81" s="73" t="n">
        <f aca="false">MAX(0,((Assumptions!$D$74*IF(Assumptions!W$203=2027,1+Assumptions!$F$191,1)))*INDEX(Assumptions!$C$49:$C$57,MATCH((Assumptions!$D$74*IF(Assumptions!W$203=2027,1+Assumptions!$F$191,1)),Assumptions!$A$49:$A$57,1))-INDEX(Assumptions!$D$49:$D$57,MATCH((Assumptions!$D$74*IF(Assumptions!W$203=2027,1+Assumptions!$F$191,1)),Assumptions!$A$49:$A$57,1)))/((Assumptions!$D$74*IF(Assumptions!W$203=2027,1+Assumptions!$F$191,1)))</f>
        <v>0.155339805825243</v>
      </c>
      <c r="X81" s="73" t="n">
        <f aca="false">MAX(0,((Assumptions!$D$74*IF(Assumptions!X$203=2027,1+Assumptions!$F$191,1)))*INDEX(Assumptions!$C$49:$C$57,MATCH((Assumptions!$D$74*IF(Assumptions!X$203=2027,1+Assumptions!$F$191,1)),Assumptions!$A$49:$A$57,1))-INDEX(Assumptions!$D$49:$D$57,MATCH((Assumptions!$D$74*IF(Assumptions!X$203=2027,1+Assumptions!$F$191,1)),Assumptions!$A$49:$A$57,1)))/((Assumptions!$D$74*IF(Assumptions!X$203=2027,1+Assumptions!$F$191,1)))</f>
        <v>0.155339805825243</v>
      </c>
      <c r="Y81" s="73" t="n">
        <f aca="false">MAX(0,((Assumptions!$D$74*IF(Assumptions!Y$203=2027,1+Assumptions!$F$191,1)))*INDEX(Assumptions!$C$49:$C$57,MATCH((Assumptions!$D$74*IF(Assumptions!Y$203=2027,1+Assumptions!$F$191,1)),Assumptions!$A$49:$A$57,1))-INDEX(Assumptions!$D$49:$D$57,MATCH((Assumptions!$D$74*IF(Assumptions!Y$203=2027,1+Assumptions!$F$191,1)),Assumptions!$A$49:$A$57,1)))/((Assumptions!$D$74*IF(Assumptions!Y$203=2027,1+Assumptions!$F$191,1)))</f>
        <v>0.155339805825243</v>
      </c>
      <c r="Z81" s="73" t="n">
        <f aca="false">MAX(0,((Assumptions!$D$74*IF(Assumptions!Z$203=2027,1+Assumptions!$F$191,1)))*INDEX(Assumptions!$C$49:$C$57,MATCH((Assumptions!$D$74*IF(Assumptions!Z$203=2027,1+Assumptions!$F$191,1)),Assumptions!$A$49:$A$57,1))-INDEX(Assumptions!$D$49:$D$57,MATCH((Assumptions!$D$74*IF(Assumptions!Z$203=2027,1+Assumptions!$F$191,1)),Assumptions!$A$49:$A$57,1)))/((Assumptions!$D$74*IF(Assumptions!Z$203=2027,1+Assumptions!$F$191,1)))</f>
        <v>0.155339805825243</v>
      </c>
      <c r="AA81" s="73" t="n">
        <f aca="false">MAX(0,((Assumptions!$D$74*IF(Assumptions!AA$203=2027,1+Assumptions!$F$191,1)))*INDEX(Assumptions!$C$49:$C$57,MATCH((Assumptions!$D$74*IF(Assumptions!AA$203=2027,1+Assumptions!$F$191,1)),Assumptions!$A$49:$A$57,1))-INDEX(Assumptions!$D$49:$D$57,MATCH((Assumptions!$D$74*IF(Assumptions!AA$203=2027,1+Assumptions!$F$191,1)),Assumptions!$A$49:$A$57,1)))/((Assumptions!$D$74*IF(Assumptions!AA$203=2027,1+Assumptions!$F$191,1)))</f>
        <v>0.155339805825243</v>
      </c>
      <c r="AB81" s="73" t="n">
        <f aca="false">MAX(0,((Assumptions!$D$74*IF(Assumptions!AB$203=2027,1+Assumptions!$F$191,1)))*INDEX(Assumptions!$C$49:$C$57,MATCH((Assumptions!$D$74*IF(Assumptions!AB$203=2027,1+Assumptions!$F$191,1)),Assumptions!$A$49:$A$57,1))-INDEX(Assumptions!$D$49:$D$57,MATCH((Assumptions!$D$74*IF(Assumptions!AB$203=2027,1+Assumptions!$F$191,1)),Assumptions!$A$49:$A$57,1)))/((Assumptions!$D$74*IF(Assumptions!AB$203=2027,1+Assumptions!$F$191,1)))</f>
        <v>0.155339805825243</v>
      </c>
    </row>
    <row r="82" customFormat="false" ht="15" hidden="false" customHeight="false" outlineLevel="0" collapsed="false">
      <c r="A82" s="27" t="s">
        <v>1153</v>
      </c>
      <c r="B82" s="63" t="s">
        <v>1139</v>
      </c>
      <c r="C82" s="72" t="n">
        <f aca="false">AVERAGE(E82:P82)</f>
        <v>0.127276470588235</v>
      </c>
      <c r="D82" s="72" t="n">
        <f aca="false">AVERAGE(Q82:AB82)</f>
        <v>0.130588806396345</v>
      </c>
      <c r="E82" s="73" t="n">
        <f aca="false">MAX(0,((Assumptions!$D$75*IF(Assumptions!E$203=2027,1+Assumptions!$F$191,1)))*INDEX(Assumptions!$C$49:$C$57,MATCH((Assumptions!$D$75*IF(Assumptions!E$203=2027,1+Assumptions!$F$191,1)),Assumptions!$A$49:$A$57,1))-INDEX(Assumptions!$D$49:$D$57,MATCH((Assumptions!$D$75*IF(Assumptions!E$203=2027,1+Assumptions!$F$191,1)),Assumptions!$A$49:$A$57,1)))/((Assumptions!$D$75*IF(Assumptions!E$203=2027,1+Assumptions!$F$191,1)))</f>
        <v>0.127276470588235</v>
      </c>
      <c r="F82" s="73" t="n">
        <f aca="false">MAX(0,((Assumptions!$D$75*IF(Assumptions!F$203=2027,1+Assumptions!$F$191,1)))*INDEX(Assumptions!$C$49:$C$57,MATCH((Assumptions!$D$75*IF(Assumptions!F$203=2027,1+Assumptions!$F$191,1)),Assumptions!$A$49:$A$57,1))-INDEX(Assumptions!$D$49:$D$57,MATCH((Assumptions!$D$75*IF(Assumptions!F$203=2027,1+Assumptions!$F$191,1)),Assumptions!$A$49:$A$57,1)))/((Assumptions!$D$75*IF(Assumptions!F$203=2027,1+Assumptions!$F$191,1)))</f>
        <v>0.127276470588235</v>
      </c>
      <c r="G82" s="73" t="n">
        <f aca="false">MAX(0,((Assumptions!$D$75*IF(Assumptions!G$203=2027,1+Assumptions!$F$191,1)))*INDEX(Assumptions!$C$49:$C$57,MATCH((Assumptions!$D$75*IF(Assumptions!G$203=2027,1+Assumptions!$F$191,1)),Assumptions!$A$49:$A$57,1))-INDEX(Assumptions!$D$49:$D$57,MATCH((Assumptions!$D$75*IF(Assumptions!G$203=2027,1+Assumptions!$F$191,1)),Assumptions!$A$49:$A$57,1)))/((Assumptions!$D$75*IF(Assumptions!G$203=2027,1+Assumptions!$F$191,1)))</f>
        <v>0.127276470588235</v>
      </c>
      <c r="H82" s="73" t="n">
        <f aca="false">MAX(0,((Assumptions!$D$75*IF(Assumptions!H$203=2027,1+Assumptions!$F$191,1)))*INDEX(Assumptions!$C$49:$C$57,MATCH((Assumptions!$D$75*IF(Assumptions!H$203=2027,1+Assumptions!$F$191,1)),Assumptions!$A$49:$A$57,1))-INDEX(Assumptions!$D$49:$D$57,MATCH((Assumptions!$D$75*IF(Assumptions!H$203=2027,1+Assumptions!$F$191,1)),Assumptions!$A$49:$A$57,1)))/((Assumptions!$D$75*IF(Assumptions!H$203=2027,1+Assumptions!$F$191,1)))</f>
        <v>0.127276470588235</v>
      </c>
      <c r="I82" s="73" t="n">
        <f aca="false">MAX(0,((Assumptions!$D$75*IF(Assumptions!I$203=2027,1+Assumptions!$F$191,1)))*INDEX(Assumptions!$C$49:$C$57,MATCH((Assumptions!$D$75*IF(Assumptions!I$203=2027,1+Assumptions!$F$191,1)),Assumptions!$A$49:$A$57,1))-INDEX(Assumptions!$D$49:$D$57,MATCH((Assumptions!$D$75*IF(Assumptions!I$203=2027,1+Assumptions!$F$191,1)),Assumptions!$A$49:$A$57,1)))/((Assumptions!$D$75*IF(Assumptions!I$203=2027,1+Assumptions!$F$191,1)))</f>
        <v>0.127276470588235</v>
      </c>
      <c r="J82" s="73" t="n">
        <f aca="false">MAX(0,((Assumptions!$D$75*IF(Assumptions!J$203=2027,1+Assumptions!$F$191,1)))*INDEX(Assumptions!$C$49:$C$57,MATCH((Assumptions!$D$75*IF(Assumptions!J$203=2027,1+Assumptions!$F$191,1)),Assumptions!$A$49:$A$57,1))-INDEX(Assumptions!$D$49:$D$57,MATCH((Assumptions!$D$75*IF(Assumptions!J$203=2027,1+Assumptions!$F$191,1)),Assumptions!$A$49:$A$57,1)))/((Assumptions!$D$75*IF(Assumptions!J$203=2027,1+Assumptions!$F$191,1)))</f>
        <v>0.127276470588235</v>
      </c>
      <c r="K82" s="73" t="n">
        <f aca="false">MAX(0,((Assumptions!$D$75*IF(Assumptions!K$203=2027,1+Assumptions!$F$191,1)))*INDEX(Assumptions!$C$49:$C$57,MATCH((Assumptions!$D$75*IF(Assumptions!K$203=2027,1+Assumptions!$F$191,1)),Assumptions!$A$49:$A$57,1))-INDEX(Assumptions!$D$49:$D$57,MATCH((Assumptions!$D$75*IF(Assumptions!K$203=2027,1+Assumptions!$F$191,1)),Assumptions!$A$49:$A$57,1)))/((Assumptions!$D$75*IF(Assumptions!K$203=2027,1+Assumptions!$F$191,1)))</f>
        <v>0.127276470588235</v>
      </c>
      <c r="L82" s="73" t="n">
        <f aca="false">MAX(0,((Assumptions!$D$75*IF(Assumptions!L$203=2027,1+Assumptions!$F$191,1)))*INDEX(Assumptions!$C$49:$C$57,MATCH((Assumptions!$D$75*IF(Assumptions!L$203=2027,1+Assumptions!$F$191,1)),Assumptions!$A$49:$A$57,1))-INDEX(Assumptions!$D$49:$D$57,MATCH((Assumptions!$D$75*IF(Assumptions!L$203=2027,1+Assumptions!$F$191,1)),Assumptions!$A$49:$A$57,1)))/((Assumptions!$D$75*IF(Assumptions!L$203=2027,1+Assumptions!$F$191,1)))</f>
        <v>0.127276470588235</v>
      </c>
      <c r="M82" s="73" t="n">
        <f aca="false">MAX(0,((Assumptions!$D$75*IF(Assumptions!M$203=2027,1+Assumptions!$F$191,1)))*INDEX(Assumptions!$C$49:$C$57,MATCH((Assumptions!$D$75*IF(Assumptions!M$203=2027,1+Assumptions!$F$191,1)),Assumptions!$A$49:$A$57,1))-INDEX(Assumptions!$D$49:$D$57,MATCH((Assumptions!$D$75*IF(Assumptions!M$203=2027,1+Assumptions!$F$191,1)),Assumptions!$A$49:$A$57,1)))/((Assumptions!$D$75*IF(Assumptions!M$203=2027,1+Assumptions!$F$191,1)))</f>
        <v>0.127276470588235</v>
      </c>
      <c r="N82" s="73" t="n">
        <f aca="false">MAX(0,((Assumptions!$D$75*IF(Assumptions!N$203=2027,1+Assumptions!$F$191,1)))*INDEX(Assumptions!$C$49:$C$57,MATCH((Assumptions!$D$75*IF(Assumptions!N$203=2027,1+Assumptions!$F$191,1)),Assumptions!$A$49:$A$57,1))-INDEX(Assumptions!$D$49:$D$57,MATCH((Assumptions!$D$75*IF(Assumptions!N$203=2027,1+Assumptions!$F$191,1)),Assumptions!$A$49:$A$57,1)))/((Assumptions!$D$75*IF(Assumptions!N$203=2027,1+Assumptions!$F$191,1)))</f>
        <v>0.127276470588235</v>
      </c>
      <c r="O82" s="73" t="n">
        <f aca="false">MAX(0,((Assumptions!$D$75*IF(Assumptions!O$203=2027,1+Assumptions!$F$191,1)))*INDEX(Assumptions!$C$49:$C$57,MATCH((Assumptions!$D$75*IF(Assumptions!O$203=2027,1+Assumptions!$F$191,1)),Assumptions!$A$49:$A$57,1))-INDEX(Assumptions!$D$49:$D$57,MATCH((Assumptions!$D$75*IF(Assumptions!O$203=2027,1+Assumptions!$F$191,1)),Assumptions!$A$49:$A$57,1)))/((Assumptions!$D$75*IF(Assumptions!O$203=2027,1+Assumptions!$F$191,1)))</f>
        <v>0.127276470588235</v>
      </c>
      <c r="P82" s="73" t="n">
        <f aca="false">MAX(0,((Assumptions!$D$75*IF(Assumptions!P$203=2027,1+Assumptions!$F$191,1)))*INDEX(Assumptions!$C$49:$C$57,MATCH((Assumptions!$D$75*IF(Assumptions!P$203=2027,1+Assumptions!$F$191,1)),Assumptions!$A$49:$A$57,1))-INDEX(Assumptions!$D$49:$D$57,MATCH((Assumptions!$D$75*IF(Assumptions!P$203=2027,1+Assumptions!$F$191,1)),Assumptions!$A$49:$A$57,1)))/((Assumptions!$D$75*IF(Assumptions!P$203=2027,1+Assumptions!$F$191,1)))</f>
        <v>0.127276470588235</v>
      </c>
      <c r="Q82" s="73" t="n">
        <f aca="false">MAX(0,((Assumptions!$D$75*IF(Assumptions!Q$203=2027,1+Assumptions!$F$191,1)))*INDEX(Assumptions!$C$49:$C$57,MATCH((Assumptions!$D$75*IF(Assumptions!Q$203=2027,1+Assumptions!$F$191,1)),Assumptions!$A$49:$A$57,1))-INDEX(Assumptions!$D$49:$D$57,MATCH((Assumptions!$D$75*IF(Assumptions!Q$203=2027,1+Assumptions!$F$191,1)),Assumptions!$A$49:$A$57,1)))/((Assumptions!$D$75*IF(Assumptions!Q$203=2027,1+Assumptions!$F$191,1)))</f>
        <v>0.130588806396345</v>
      </c>
      <c r="R82" s="73" t="n">
        <f aca="false">MAX(0,((Assumptions!$D$75*IF(Assumptions!R$203=2027,1+Assumptions!$F$191,1)))*INDEX(Assumptions!$C$49:$C$57,MATCH((Assumptions!$D$75*IF(Assumptions!R$203=2027,1+Assumptions!$F$191,1)),Assumptions!$A$49:$A$57,1))-INDEX(Assumptions!$D$49:$D$57,MATCH((Assumptions!$D$75*IF(Assumptions!R$203=2027,1+Assumptions!$F$191,1)),Assumptions!$A$49:$A$57,1)))/((Assumptions!$D$75*IF(Assumptions!R$203=2027,1+Assumptions!$F$191,1)))</f>
        <v>0.130588806396345</v>
      </c>
      <c r="S82" s="73" t="n">
        <f aca="false">MAX(0,((Assumptions!$D$75*IF(Assumptions!S$203=2027,1+Assumptions!$F$191,1)))*INDEX(Assumptions!$C$49:$C$57,MATCH((Assumptions!$D$75*IF(Assumptions!S$203=2027,1+Assumptions!$F$191,1)),Assumptions!$A$49:$A$57,1))-INDEX(Assumptions!$D$49:$D$57,MATCH((Assumptions!$D$75*IF(Assumptions!S$203=2027,1+Assumptions!$F$191,1)),Assumptions!$A$49:$A$57,1)))/((Assumptions!$D$75*IF(Assumptions!S$203=2027,1+Assumptions!$F$191,1)))</f>
        <v>0.130588806396345</v>
      </c>
      <c r="T82" s="73" t="n">
        <f aca="false">MAX(0,((Assumptions!$D$75*IF(Assumptions!T$203=2027,1+Assumptions!$F$191,1)))*INDEX(Assumptions!$C$49:$C$57,MATCH((Assumptions!$D$75*IF(Assumptions!T$203=2027,1+Assumptions!$F$191,1)),Assumptions!$A$49:$A$57,1))-INDEX(Assumptions!$D$49:$D$57,MATCH((Assumptions!$D$75*IF(Assumptions!T$203=2027,1+Assumptions!$F$191,1)),Assumptions!$A$49:$A$57,1)))/((Assumptions!$D$75*IF(Assumptions!T$203=2027,1+Assumptions!$F$191,1)))</f>
        <v>0.130588806396345</v>
      </c>
      <c r="U82" s="73" t="n">
        <f aca="false">MAX(0,((Assumptions!$D$75*IF(Assumptions!U$203=2027,1+Assumptions!$F$191,1)))*INDEX(Assumptions!$C$49:$C$57,MATCH((Assumptions!$D$75*IF(Assumptions!U$203=2027,1+Assumptions!$F$191,1)),Assumptions!$A$49:$A$57,1))-INDEX(Assumptions!$D$49:$D$57,MATCH((Assumptions!$D$75*IF(Assumptions!U$203=2027,1+Assumptions!$F$191,1)),Assumptions!$A$49:$A$57,1)))/((Assumptions!$D$75*IF(Assumptions!U$203=2027,1+Assumptions!$F$191,1)))</f>
        <v>0.130588806396345</v>
      </c>
      <c r="V82" s="73" t="n">
        <f aca="false">MAX(0,((Assumptions!$D$75*IF(Assumptions!V$203=2027,1+Assumptions!$F$191,1)))*INDEX(Assumptions!$C$49:$C$57,MATCH((Assumptions!$D$75*IF(Assumptions!V$203=2027,1+Assumptions!$F$191,1)),Assumptions!$A$49:$A$57,1))-INDEX(Assumptions!$D$49:$D$57,MATCH((Assumptions!$D$75*IF(Assumptions!V$203=2027,1+Assumptions!$F$191,1)),Assumptions!$A$49:$A$57,1)))/((Assumptions!$D$75*IF(Assumptions!V$203=2027,1+Assumptions!$F$191,1)))</f>
        <v>0.130588806396345</v>
      </c>
      <c r="W82" s="73" t="n">
        <f aca="false">MAX(0,((Assumptions!$D$75*IF(Assumptions!W$203=2027,1+Assumptions!$F$191,1)))*INDEX(Assumptions!$C$49:$C$57,MATCH((Assumptions!$D$75*IF(Assumptions!W$203=2027,1+Assumptions!$F$191,1)),Assumptions!$A$49:$A$57,1))-INDEX(Assumptions!$D$49:$D$57,MATCH((Assumptions!$D$75*IF(Assumptions!W$203=2027,1+Assumptions!$F$191,1)),Assumptions!$A$49:$A$57,1)))/((Assumptions!$D$75*IF(Assumptions!W$203=2027,1+Assumptions!$F$191,1)))</f>
        <v>0.130588806396345</v>
      </c>
      <c r="X82" s="73" t="n">
        <f aca="false">MAX(0,((Assumptions!$D$75*IF(Assumptions!X$203=2027,1+Assumptions!$F$191,1)))*INDEX(Assumptions!$C$49:$C$57,MATCH((Assumptions!$D$75*IF(Assumptions!X$203=2027,1+Assumptions!$F$191,1)),Assumptions!$A$49:$A$57,1))-INDEX(Assumptions!$D$49:$D$57,MATCH((Assumptions!$D$75*IF(Assumptions!X$203=2027,1+Assumptions!$F$191,1)),Assumptions!$A$49:$A$57,1)))/((Assumptions!$D$75*IF(Assumptions!X$203=2027,1+Assumptions!$F$191,1)))</f>
        <v>0.130588806396345</v>
      </c>
      <c r="Y82" s="73" t="n">
        <f aca="false">MAX(0,((Assumptions!$D$75*IF(Assumptions!Y$203=2027,1+Assumptions!$F$191,1)))*INDEX(Assumptions!$C$49:$C$57,MATCH((Assumptions!$D$75*IF(Assumptions!Y$203=2027,1+Assumptions!$F$191,1)),Assumptions!$A$49:$A$57,1))-INDEX(Assumptions!$D$49:$D$57,MATCH((Assumptions!$D$75*IF(Assumptions!Y$203=2027,1+Assumptions!$F$191,1)),Assumptions!$A$49:$A$57,1)))/((Assumptions!$D$75*IF(Assumptions!Y$203=2027,1+Assumptions!$F$191,1)))</f>
        <v>0.130588806396345</v>
      </c>
      <c r="Z82" s="73" t="n">
        <f aca="false">MAX(0,((Assumptions!$D$75*IF(Assumptions!Z$203=2027,1+Assumptions!$F$191,1)))*INDEX(Assumptions!$C$49:$C$57,MATCH((Assumptions!$D$75*IF(Assumptions!Z$203=2027,1+Assumptions!$F$191,1)),Assumptions!$A$49:$A$57,1))-INDEX(Assumptions!$D$49:$D$57,MATCH((Assumptions!$D$75*IF(Assumptions!Z$203=2027,1+Assumptions!$F$191,1)),Assumptions!$A$49:$A$57,1)))/((Assumptions!$D$75*IF(Assumptions!Z$203=2027,1+Assumptions!$F$191,1)))</f>
        <v>0.130588806396345</v>
      </c>
      <c r="AA82" s="73" t="n">
        <f aca="false">MAX(0,((Assumptions!$D$75*IF(Assumptions!AA$203=2027,1+Assumptions!$F$191,1)))*INDEX(Assumptions!$C$49:$C$57,MATCH((Assumptions!$D$75*IF(Assumptions!AA$203=2027,1+Assumptions!$F$191,1)),Assumptions!$A$49:$A$57,1))-INDEX(Assumptions!$D$49:$D$57,MATCH((Assumptions!$D$75*IF(Assumptions!AA$203=2027,1+Assumptions!$F$191,1)),Assumptions!$A$49:$A$57,1)))/((Assumptions!$D$75*IF(Assumptions!AA$203=2027,1+Assumptions!$F$191,1)))</f>
        <v>0.130588806396345</v>
      </c>
      <c r="AB82" s="73" t="n">
        <f aca="false">MAX(0,((Assumptions!$D$75*IF(Assumptions!AB$203=2027,1+Assumptions!$F$191,1)))*INDEX(Assumptions!$C$49:$C$57,MATCH((Assumptions!$D$75*IF(Assumptions!AB$203=2027,1+Assumptions!$F$191,1)),Assumptions!$A$49:$A$57,1))-INDEX(Assumptions!$D$49:$D$57,MATCH((Assumptions!$D$75*IF(Assumptions!AB$203=2027,1+Assumptions!$F$191,1)),Assumptions!$A$49:$A$57,1)))/((Assumptions!$D$75*IF(Assumptions!AB$203=2027,1+Assumptions!$F$191,1)))</f>
        <v>0.130588806396345</v>
      </c>
    </row>
    <row r="83" customFormat="false" ht="15" hidden="false" customHeight="false" outlineLevel="0" collapsed="false">
      <c r="A83" s="27" t="s">
        <v>1154</v>
      </c>
      <c r="B83" s="63" t="s">
        <v>1139</v>
      </c>
      <c r="C83" s="72" t="n">
        <f aca="false">AVERAGE(E83:P83)</f>
        <v>0.0922846153846154</v>
      </c>
      <c r="D83" s="72" t="n">
        <f aca="false">AVERAGE(Q83:AB83)</f>
        <v>0.0966161314413742</v>
      </c>
      <c r="E83" s="73" t="n">
        <f aca="false">MAX(0,((Assumptions!$D$76*IF(Assumptions!E$203=2027,1+Assumptions!$F$191,1)))*INDEX(Assumptions!$C$49:$C$57,MATCH((Assumptions!$D$76*IF(Assumptions!E$203=2027,1+Assumptions!$F$191,1)),Assumptions!$A$49:$A$57,1))-INDEX(Assumptions!$D$49:$D$57,MATCH((Assumptions!$D$76*IF(Assumptions!E$203=2027,1+Assumptions!$F$191,1)),Assumptions!$A$49:$A$57,1)))/((Assumptions!$D$76*IF(Assumptions!E$203=2027,1+Assumptions!$F$191,1)))</f>
        <v>0.0922846153846154</v>
      </c>
      <c r="F83" s="73" t="n">
        <f aca="false">MAX(0,((Assumptions!$D$76*IF(Assumptions!F$203=2027,1+Assumptions!$F$191,1)))*INDEX(Assumptions!$C$49:$C$57,MATCH((Assumptions!$D$76*IF(Assumptions!F$203=2027,1+Assumptions!$F$191,1)),Assumptions!$A$49:$A$57,1))-INDEX(Assumptions!$D$49:$D$57,MATCH((Assumptions!$D$76*IF(Assumptions!F$203=2027,1+Assumptions!$F$191,1)),Assumptions!$A$49:$A$57,1)))/((Assumptions!$D$76*IF(Assumptions!F$203=2027,1+Assumptions!$F$191,1)))</f>
        <v>0.0922846153846154</v>
      </c>
      <c r="G83" s="73" t="n">
        <f aca="false">MAX(0,((Assumptions!$D$76*IF(Assumptions!G$203=2027,1+Assumptions!$F$191,1)))*INDEX(Assumptions!$C$49:$C$57,MATCH((Assumptions!$D$76*IF(Assumptions!G$203=2027,1+Assumptions!$F$191,1)),Assumptions!$A$49:$A$57,1))-INDEX(Assumptions!$D$49:$D$57,MATCH((Assumptions!$D$76*IF(Assumptions!G$203=2027,1+Assumptions!$F$191,1)),Assumptions!$A$49:$A$57,1)))/((Assumptions!$D$76*IF(Assumptions!G$203=2027,1+Assumptions!$F$191,1)))</f>
        <v>0.0922846153846154</v>
      </c>
      <c r="H83" s="73" t="n">
        <f aca="false">MAX(0,((Assumptions!$D$76*IF(Assumptions!H$203=2027,1+Assumptions!$F$191,1)))*INDEX(Assumptions!$C$49:$C$57,MATCH((Assumptions!$D$76*IF(Assumptions!H$203=2027,1+Assumptions!$F$191,1)),Assumptions!$A$49:$A$57,1))-INDEX(Assumptions!$D$49:$D$57,MATCH((Assumptions!$D$76*IF(Assumptions!H$203=2027,1+Assumptions!$F$191,1)),Assumptions!$A$49:$A$57,1)))/((Assumptions!$D$76*IF(Assumptions!H$203=2027,1+Assumptions!$F$191,1)))</f>
        <v>0.0922846153846154</v>
      </c>
      <c r="I83" s="73" t="n">
        <f aca="false">MAX(0,((Assumptions!$D$76*IF(Assumptions!I$203=2027,1+Assumptions!$F$191,1)))*INDEX(Assumptions!$C$49:$C$57,MATCH((Assumptions!$D$76*IF(Assumptions!I$203=2027,1+Assumptions!$F$191,1)),Assumptions!$A$49:$A$57,1))-INDEX(Assumptions!$D$49:$D$57,MATCH((Assumptions!$D$76*IF(Assumptions!I$203=2027,1+Assumptions!$F$191,1)),Assumptions!$A$49:$A$57,1)))/((Assumptions!$D$76*IF(Assumptions!I$203=2027,1+Assumptions!$F$191,1)))</f>
        <v>0.0922846153846154</v>
      </c>
      <c r="J83" s="73" t="n">
        <f aca="false">MAX(0,((Assumptions!$D$76*IF(Assumptions!J$203=2027,1+Assumptions!$F$191,1)))*INDEX(Assumptions!$C$49:$C$57,MATCH((Assumptions!$D$76*IF(Assumptions!J$203=2027,1+Assumptions!$F$191,1)),Assumptions!$A$49:$A$57,1))-INDEX(Assumptions!$D$49:$D$57,MATCH((Assumptions!$D$76*IF(Assumptions!J$203=2027,1+Assumptions!$F$191,1)),Assumptions!$A$49:$A$57,1)))/((Assumptions!$D$76*IF(Assumptions!J$203=2027,1+Assumptions!$F$191,1)))</f>
        <v>0.0922846153846154</v>
      </c>
      <c r="K83" s="73" t="n">
        <f aca="false">MAX(0,((Assumptions!$D$76*IF(Assumptions!K$203=2027,1+Assumptions!$F$191,1)))*INDEX(Assumptions!$C$49:$C$57,MATCH((Assumptions!$D$76*IF(Assumptions!K$203=2027,1+Assumptions!$F$191,1)),Assumptions!$A$49:$A$57,1))-INDEX(Assumptions!$D$49:$D$57,MATCH((Assumptions!$D$76*IF(Assumptions!K$203=2027,1+Assumptions!$F$191,1)),Assumptions!$A$49:$A$57,1)))/((Assumptions!$D$76*IF(Assumptions!K$203=2027,1+Assumptions!$F$191,1)))</f>
        <v>0.0922846153846154</v>
      </c>
      <c r="L83" s="73" t="n">
        <f aca="false">MAX(0,((Assumptions!$D$76*IF(Assumptions!L$203=2027,1+Assumptions!$F$191,1)))*INDEX(Assumptions!$C$49:$C$57,MATCH((Assumptions!$D$76*IF(Assumptions!L$203=2027,1+Assumptions!$F$191,1)),Assumptions!$A$49:$A$57,1))-INDEX(Assumptions!$D$49:$D$57,MATCH((Assumptions!$D$76*IF(Assumptions!L$203=2027,1+Assumptions!$F$191,1)),Assumptions!$A$49:$A$57,1)))/((Assumptions!$D$76*IF(Assumptions!L$203=2027,1+Assumptions!$F$191,1)))</f>
        <v>0.0922846153846154</v>
      </c>
      <c r="M83" s="73" t="n">
        <f aca="false">MAX(0,((Assumptions!$D$76*IF(Assumptions!M$203=2027,1+Assumptions!$F$191,1)))*INDEX(Assumptions!$C$49:$C$57,MATCH((Assumptions!$D$76*IF(Assumptions!M$203=2027,1+Assumptions!$F$191,1)),Assumptions!$A$49:$A$57,1))-INDEX(Assumptions!$D$49:$D$57,MATCH((Assumptions!$D$76*IF(Assumptions!M$203=2027,1+Assumptions!$F$191,1)),Assumptions!$A$49:$A$57,1)))/((Assumptions!$D$76*IF(Assumptions!M$203=2027,1+Assumptions!$F$191,1)))</f>
        <v>0.0922846153846154</v>
      </c>
      <c r="N83" s="73" t="n">
        <f aca="false">MAX(0,((Assumptions!$D$76*IF(Assumptions!N$203=2027,1+Assumptions!$F$191,1)))*INDEX(Assumptions!$C$49:$C$57,MATCH((Assumptions!$D$76*IF(Assumptions!N$203=2027,1+Assumptions!$F$191,1)),Assumptions!$A$49:$A$57,1))-INDEX(Assumptions!$D$49:$D$57,MATCH((Assumptions!$D$76*IF(Assumptions!N$203=2027,1+Assumptions!$F$191,1)),Assumptions!$A$49:$A$57,1)))/((Assumptions!$D$76*IF(Assumptions!N$203=2027,1+Assumptions!$F$191,1)))</f>
        <v>0.0922846153846154</v>
      </c>
      <c r="O83" s="73" t="n">
        <f aca="false">MAX(0,((Assumptions!$D$76*IF(Assumptions!O$203=2027,1+Assumptions!$F$191,1)))*INDEX(Assumptions!$C$49:$C$57,MATCH((Assumptions!$D$76*IF(Assumptions!O$203=2027,1+Assumptions!$F$191,1)),Assumptions!$A$49:$A$57,1))-INDEX(Assumptions!$D$49:$D$57,MATCH((Assumptions!$D$76*IF(Assumptions!O$203=2027,1+Assumptions!$F$191,1)),Assumptions!$A$49:$A$57,1)))/((Assumptions!$D$76*IF(Assumptions!O$203=2027,1+Assumptions!$F$191,1)))</f>
        <v>0.0922846153846154</v>
      </c>
      <c r="P83" s="73" t="n">
        <f aca="false">MAX(0,((Assumptions!$D$76*IF(Assumptions!P$203=2027,1+Assumptions!$F$191,1)))*INDEX(Assumptions!$C$49:$C$57,MATCH((Assumptions!$D$76*IF(Assumptions!P$203=2027,1+Assumptions!$F$191,1)),Assumptions!$A$49:$A$57,1))-INDEX(Assumptions!$D$49:$D$57,MATCH((Assumptions!$D$76*IF(Assumptions!P$203=2027,1+Assumptions!$F$191,1)),Assumptions!$A$49:$A$57,1)))/((Assumptions!$D$76*IF(Assumptions!P$203=2027,1+Assumptions!$F$191,1)))</f>
        <v>0.0922846153846154</v>
      </c>
      <c r="Q83" s="73" t="n">
        <f aca="false">MAX(0,((Assumptions!$D$76*IF(Assumptions!Q$203=2027,1+Assumptions!$F$191,1)))*INDEX(Assumptions!$C$49:$C$57,MATCH((Assumptions!$D$76*IF(Assumptions!Q$203=2027,1+Assumptions!$F$191,1)),Assumptions!$A$49:$A$57,1))-INDEX(Assumptions!$D$49:$D$57,MATCH((Assumptions!$D$76*IF(Assumptions!Q$203=2027,1+Assumptions!$F$191,1)),Assumptions!$A$49:$A$57,1)))/((Assumptions!$D$76*IF(Assumptions!Q$203=2027,1+Assumptions!$F$191,1)))</f>
        <v>0.0966161314413742</v>
      </c>
      <c r="R83" s="73" t="n">
        <f aca="false">MAX(0,((Assumptions!$D$76*IF(Assumptions!R$203=2027,1+Assumptions!$F$191,1)))*INDEX(Assumptions!$C$49:$C$57,MATCH((Assumptions!$D$76*IF(Assumptions!R$203=2027,1+Assumptions!$F$191,1)),Assumptions!$A$49:$A$57,1))-INDEX(Assumptions!$D$49:$D$57,MATCH((Assumptions!$D$76*IF(Assumptions!R$203=2027,1+Assumptions!$F$191,1)),Assumptions!$A$49:$A$57,1)))/((Assumptions!$D$76*IF(Assumptions!R$203=2027,1+Assumptions!$F$191,1)))</f>
        <v>0.0966161314413742</v>
      </c>
      <c r="S83" s="73" t="n">
        <f aca="false">MAX(0,((Assumptions!$D$76*IF(Assumptions!S$203=2027,1+Assumptions!$F$191,1)))*INDEX(Assumptions!$C$49:$C$57,MATCH((Assumptions!$D$76*IF(Assumptions!S$203=2027,1+Assumptions!$F$191,1)),Assumptions!$A$49:$A$57,1))-INDEX(Assumptions!$D$49:$D$57,MATCH((Assumptions!$D$76*IF(Assumptions!S$203=2027,1+Assumptions!$F$191,1)),Assumptions!$A$49:$A$57,1)))/((Assumptions!$D$76*IF(Assumptions!S$203=2027,1+Assumptions!$F$191,1)))</f>
        <v>0.0966161314413742</v>
      </c>
      <c r="T83" s="73" t="n">
        <f aca="false">MAX(0,((Assumptions!$D$76*IF(Assumptions!T$203=2027,1+Assumptions!$F$191,1)))*INDEX(Assumptions!$C$49:$C$57,MATCH((Assumptions!$D$76*IF(Assumptions!T$203=2027,1+Assumptions!$F$191,1)),Assumptions!$A$49:$A$57,1))-INDEX(Assumptions!$D$49:$D$57,MATCH((Assumptions!$D$76*IF(Assumptions!T$203=2027,1+Assumptions!$F$191,1)),Assumptions!$A$49:$A$57,1)))/((Assumptions!$D$76*IF(Assumptions!T$203=2027,1+Assumptions!$F$191,1)))</f>
        <v>0.0966161314413742</v>
      </c>
      <c r="U83" s="73" t="n">
        <f aca="false">MAX(0,((Assumptions!$D$76*IF(Assumptions!U$203=2027,1+Assumptions!$F$191,1)))*INDEX(Assumptions!$C$49:$C$57,MATCH((Assumptions!$D$76*IF(Assumptions!U$203=2027,1+Assumptions!$F$191,1)),Assumptions!$A$49:$A$57,1))-INDEX(Assumptions!$D$49:$D$57,MATCH((Assumptions!$D$76*IF(Assumptions!U$203=2027,1+Assumptions!$F$191,1)),Assumptions!$A$49:$A$57,1)))/((Assumptions!$D$76*IF(Assumptions!U$203=2027,1+Assumptions!$F$191,1)))</f>
        <v>0.0966161314413742</v>
      </c>
      <c r="V83" s="73" t="n">
        <f aca="false">MAX(0,((Assumptions!$D$76*IF(Assumptions!V$203=2027,1+Assumptions!$F$191,1)))*INDEX(Assumptions!$C$49:$C$57,MATCH((Assumptions!$D$76*IF(Assumptions!V$203=2027,1+Assumptions!$F$191,1)),Assumptions!$A$49:$A$57,1))-INDEX(Assumptions!$D$49:$D$57,MATCH((Assumptions!$D$76*IF(Assumptions!V$203=2027,1+Assumptions!$F$191,1)),Assumptions!$A$49:$A$57,1)))/((Assumptions!$D$76*IF(Assumptions!V$203=2027,1+Assumptions!$F$191,1)))</f>
        <v>0.0966161314413742</v>
      </c>
      <c r="W83" s="73" t="n">
        <f aca="false">MAX(0,((Assumptions!$D$76*IF(Assumptions!W$203=2027,1+Assumptions!$F$191,1)))*INDEX(Assumptions!$C$49:$C$57,MATCH((Assumptions!$D$76*IF(Assumptions!W$203=2027,1+Assumptions!$F$191,1)),Assumptions!$A$49:$A$57,1))-INDEX(Assumptions!$D$49:$D$57,MATCH((Assumptions!$D$76*IF(Assumptions!W$203=2027,1+Assumptions!$F$191,1)),Assumptions!$A$49:$A$57,1)))/((Assumptions!$D$76*IF(Assumptions!W$203=2027,1+Assumptions!$F$191,1)))</f>
        <v>0.0966161314413742</v>
      </c>
      <c r="X83" s="73" t="n">
        <f aca="false">MAX(0,((Assumptions!$D$76*IF(Assumptions!X$203=2027,1+Assumptions!$F$191,1)))*INDEX(Assumptions!$C$49:$C$57,MATCH((Assumptions!$D$76*IF(Assumptions!X$203=2027,1+Assumptions!$F$191,1)),Assumptions!$A$49:$A$57,1))-INDEX(Assumptions!$D$49:$D$57,MATCH((Assumptions!$D$76*IF(Assumptions!X$203=2027,1+Assumptions!$F$191,1)),Assumptions!$A$49:$A$57,1)))/((Assumptions!$D$76*IF(Assumptions!X$203=2027,1+Assumptions!$F$191,1)))</f>
        <v>0.0966161314413742</v>
      </c>
      <c r="Y83" s="73" t="n">
        <f aca="false">MAX(0,((Assumptions!$D$76*IF(Assumptions!Y$203=2027,1+Assumptions!$F$191,1)))*INDEX(Assumptions!$C$49:$C$57,MATCH((Assumptions!$D$76*IF(Assumptions!Y$203=2027,1+Assumptions!$F$191,1)),Assumptions!$A$49:$A$57,1))-INDEX(Assumptions!$D$49:$D$57,MATCH((Assumptions!$D$76*IF(Assumptions!Y$203=2027,1+Assumptions!$F$191,1)),Assumptions!$A$49:$A$57,1)))/((Assumptions!$D$76*IF(Assumptions!Y$203=2027,1+Assumptions!$F$191,1)))</f>
        <v>0.0966161314413742</v>
      </c>
      <c r="Z83" s="73" t="n">
        <f aca="false">MAX(0,((Assumptions!$D$76*IF(Assumptions!Z$203=2027,1+Assumptions!$F$191,1)))*INDEX(Assumptions!$C$49:$C$57,MATCH((Assumptions!$D$76*IF(Assumptions!Z$203=2027,1+Assumptions!$F$191,1)),Assumptions!$A$49:$A$57,1))-INDEX(Assumptions!$D$49:$D$57,MATCH((Assumptions!$D$76*IF(Assumptions!Z$203=2027,1+Assumptions!$F$191,1)),Assumptions!$A$49:$A$57,1)))/((Assumptions!$D$76*IF(Assumptions!Z$203=2027,1+Assumptions!$F$191,1)))</f>
        <v>0.0966161314413742</v>
      </c>
      <c r="AA83" s="73" t="n">
        <f aca="false">MAX(0,((Assumptions!$D$76*IF(Assumptions!AA$203=2027,1+Assumptions!$F$191,1)))*INDEX(Assumptions!$C$49:$C$57,MATCH((Assumptions!$D$76*IF(Assumptions!AA$203=2027,1+Assumptions!$F$191,1)),Assumptions!$A$49:$A$57,1))-INDEX(Assumptions!$D$49:$D$57,MATCH((Assumptions!$D$76*IF(Assumptions!AA$203=2027,1+Assumptions!$F$191,1)),Assumptions!$A$49:$A$57,1)))/((Assumptions!$D$76*IF(Assumptions!AA$203=2027,1+Assumptions!$F$191,1)))</f>
        <v>0.0966161314413742</v>
      </c>
      <c r="AB83" s="73" t="n">
        <f aca="false">MAX(0,((Assumptions!$D$76*IF(Assumptions!AB$203=2027,1+Assumptions!$F$191,1)))*INDEX(Assumptions!$C$49:$C$57,MATCH((Assumptions!$D$76*IF(Assumptions!AB$203=2027,1+Assumptions!$F$191,1)),Assumptions!$A$49:$A$57,1))-INDEX(Assumptions!$D$49:$D$57,MATCH((Assumptions!$D$76*IF(Assumptions!AB$203=2027,1+Assumptions!$F$191,1)),Assumptions!$A$49:$A$57,1)))/((Assumptions!$D$76*IF(Assumptions!AB$203=2027,1+Assumptions!$F$191,1)))</f>
        <v>0.0966161314413742</v>
      </c>
    </row>
    <row r="84" customFormat="false" ht="15" hidden="false" customHeight="false" outlineLevel="0" collapsed="false">
      <c r="A84" s="27" t="s">
        <v>1155</v>
      </c>
      <c r="B84" s="63" t="s">
        <v>1139</v>
      </c>
      <c r="C84" s="72" t="n">
        <f aca="false">AVERAGE(E84:P84)</f>
        <v>0.0746434782608696</v>
      </c>
      <c r="D84" s="72" t="n">
        <f aca="false">AVERAGE(Q84:AB84)</f>
        <v>0.0784584212747995</v>
      </c>
      <c r="E84" s="73" t="n">
        <f aca="false">MAX(0,((Assumptions!$D$77*IF(Assumptions!E$203=2027,1+Assumptions!$F$191,1)))*INDEX(Assumptions!$C$49:$C$57,MATCH((Assumptions!$D$77*IF(Assumptions!E$203=2027,1+Assumptions!$F$191,1)),Assumptions!$A$49:$A$57,1))-INDEX(Assumptions!$D$49:$D$57,MATCH((Assumptions!$D$77*IF(Assumptions!E$203=2027,1+Assumptions!$F$191,1)),Assumptions!$A$49:$A$57,1)))/((Assumptions!$D$77*IF(Assumptions!E$203=2027,1+Assumptions!$F$191,1)))</f>
        <v>0.0746434782608696</v>
      </c>
      <c r="F84" s="73" t="n">
        <f aca="false">MAX(0,((Assumptions!$D$77*IF(Assumptions!F$203=2027,1+Assumptions!$F$191,1)))*INDEX(Assumptions!$C$49:$C$57,MATCH((Assumptions!$D$77*IF(Assumptions!F$203=2027,1+Assumptions!$F$191,1)),Assumptions!$A$49:$A$57,1))-INDEX(Assumptions!$D$49:$D$57,MATCH((Assumptions!$D$77*IF(Assumptions!F$203=2027,1+Assumptions!$F$191,1)),Assumptions!$A$49:$A$57,1)))/((Assumptions!$D$77*IF(Assumptions!F$203=2027,1+Assumptions!$F$191,1)))</f>
        <v>0.0746434782608696</v>
      </c>
      <c r="G84" s="73" t="n">
        <f aca="false">MAX(0,((Assumptions!$D$77*IF(Assumptions!G$203=2027,1+Assumptions!$F$191,1)))*INDEX(Assumptions!$C$49:$C$57,MATCH((Assumptions!$D$77*IF(Assumptions!G$203=2027,1+Assumptions!$F$191,1)),Assumptions!$A$49:$A$57,1))-INDEX(Assumptions!$D$49:$D$57,MATCH((Assumptions!$D$77*IF(Assumptions!G$203=2027,1+Assumptions!$F$191,1)),Assumptions!$A$49:$A$57,1)))/((Assumptions!$D$77*IF(Assumptions!G$203=2027,1+Assumptions!$F$191,1)))</f>
        <v>0.0746434782608696</v>
      </c>
      <c r="H84" s="73" t="n">
        <f aca="false">MAX(0,((Assumptions!$D$77*IF(Assumptions!H$203=2027,1+Assumptions!$F$191,1)))*INDEX(Assumptions!$C$49:$C$57,MATCH((Assumptions!$D$77*IF(Assumptions!H$203=2027,1+Assumptions!$F$191,1)),Assumptions!$A$49:$A$57,1))-INDEX(Assumptions!$D$49:$D$57,MATCH((Assumptions!$D$77*IF(Assumptions!H$203=2027,1+Assumptions!$F$191,1)),Assumptions!$A$49:$A$57,1)))/((Assumptions!$D$77*IF(Assumptions!H$203=2027,1+Assumptions!$F$191,1)))</f>
        <v>0.0746434782608696</v>
      </c>
      <c r="I84" s="73" t="n">
        <f aca="false">MAX(0,((Assumptions!$D$77*IF(Assumptions!I$203=2027,1+Assumptions!$F$191,1)))*INDEX(Assumptions!$C$49:$C$57,MATCH((Assumptions!$D$77*IF(Assumptions!I$203=2027,1+Assumptions!$F$191,1)),Assumptions!$A$49:$A$57,1))-INDEX(Assumptions!$D$49:$D$57,MATCH((Assumptions!$D$77*IF(Assumptions!I$203=2027,1+Assumptions!$F$191,1)),Assumptions!$A$49:$A$57,1)))/((Assumptions!$D$77*IF(Assumptions!I$203=2027,1+Assumptions!$F$191,1)))</f>
        <v>0.0746434782608696</v>
      </c>
      <c r="J84" s="73" t="n">
        <f aca="false">MAX(0,((Assumptions!$D$77*IF(Assumptions!J$203=2027,1+Assumptions!$F$191,1)))*INDEX(Assumptions!$C$49:$C$57,MATCH((Assumptions!$D$77*IF(Assumptions!J$203=2027,1+Assumptions!$F$191,1)),Assumptions!$A$49:$A$57,1))-INDEX(Assumptions!$D$49:$D$57,MATCH((Assumptions!$D$77*IF(Assumptions!J$203=2027,1+Assumptions!$F$191,1)),Assumptions!$A$49:$A$57,1)))/((Assumptions!$D$77*IF(Assumptions!J$203=2027,1+Assumptions!$F$191,1)))</f>
        <v>0.0746434782608696</v>
      </c>
      <c r="K84" s="73" t="n">
        <f aca="false">MAX(0,((Assumptions!$D$77*IF(Assumptions!K$203=2027,1+Assumptions!$F$191,1)))*INDEX(Assumptions!$C$49:$C$57,MATCH((Assumptions!$D$77*IF(Assumptions!K$203=2027,1+Assumptions!$F$191,1)),Assumptions!$A$49:$A$57,1))-INDEX(Assumptions!$D$49:$D$57,MATCH((Assumptions!$D$77*IF(Assumptions!K$203=2027,1+Assumptions!$F$191,1)),Assumptions!$A$49:$A$57,1)))/((Assumptions!$D$77*IF(Assumptions!K$203=2027,1+Assumptions!$F$191,1)))</f>
        <v>0.0746434782608696</v>
      </c>
      <c r="L84" s="73" t="n">
        <f aca="false">MAX(0,((Assumptions!$D$77*IF(Assumptions!L$203=2027,1+Assumptions!$F$191,1)))*INDEX(Assumptions!$C$49:$C$57,MATCH((Assumptions!$D$77*IF(Assumptions!L$203=2027,1+Assumptions!$F$191,1)),Assumptions!$A$49:$A$57,1))-INDEX(Assumptions!$D$49:$D$57,MATCH((Assumptions!$D$77*IF(Assumptions!L$203=2027,1+Assumptions!$F$191,1)),Assumptions!$A$49:$A$57,1)))/((Assumptions!$D$77*IF(Assumptions!L$203=2027,1+Assumptions!$F$191,1)))</f>
        <v>0.0746434782608696</v>
      </c>
      <c r="M84" s="73" t="n">
        <f aca="false">MAX(0,((Assumptions!$D$77*IF(Assumptions!M$203=2027,1+Assumptions!$F$191,1)))*INDEX(Assumptions!$C$49:$C$57,MATCH((Assumptions!$D$77*IF(Assumptions!M$203=2027,1+Assumptions!$F$191,1)),Assumptions!$A$49:$A$57,1))-INDEX(Assumptions!$D$49:$D$57,MATCH((Assumptions!$D$77*IF(Assumptions!M$203=2027,1+Assumptions!$F$191,1)),Assumptions!$A$49:$A$57,1)))/((Assumptions!$D$77*IF(Assumptions!M$203=2027,1+Assumptions!$F$191,1)))</f>
        <v>0.0746434782608696</v>
      </c>
      <c r="N84" s="73" t="n">
        <f aca="false">MAX(0,((Assumptions!$D$77*IF(Assumptions!N$203=2027,1+Assumptions!$F$191,1)))*INDEX(Assumptions!$C$49:$C$57,MATCH((Assumptions!$D$77*IF(Assumptions!N$203=2027,1+Assumptions!$F$191,1)),Assumptions!$A$49:$A$57,1))-INDEX(Assumptions!$D$49:$D$57,MATCH((Assumptions!$D$77*IF(Assumptions!N$203=2027,1+Assumptions!$F$191,1)),Assumptions!$A$49:$A$57,1)))/((Assumptions!$D$77*IF(Assumptions!N$203=2027,1+Assumptions!$F$191,1)))</f>
        <v>0.0746434782608696</v>
      </c>
      <c r="O84" s="73" t="n">
        <f aca="false">MAX(0,((Assumptions!$D$77*IF(Assumptions!O$203=2027,1+Assumptions!$F$191,1)))*INDEX(Assumptions!$C$49:$C$57,MATCH((Assumptions!$D$77*IF(Assumptions!O$203=2027,1+Assumptions!$F$191,1)),Assumptions!$A$49:$A$57,1))-INDEX(Assumptions!$D$49:$D$57,MATCH((Assumptions!$D$77*IF(Assumptions!O$203=2027,1+Assumptions!$F$191,1)),Assumptions!$A$49:$A$57,1)))/((Assumptions!$D$77*IF(Assumptions!O$203=2027,1+Assumptions!$F$191,1)))</f>
        <v>0.0746434782608696</v>
      </c>
      <c r="P84" s="73" t="n">
        <f aca="false">MAX(0,((Assumptions!$D$77*IF(Assumptions!P$203=2027,1+Assumptions!$F$191,1)))*INDEX(Assumptions!$C$49:$C$57,MATCH((Assumptions!$D$77*IF(Assumptions!P$203=2027,1+Assumptions!$F$191,1)),Assumptions!$A$49:$A$57,1))-INDEX(Assumptions!$D$49:$D$57,MATCH((Assumptions!$D$77*IF(Assumptions!P$203=2027,1+Assumptions!$F$191,1)),Assumptions!$A$49:$A$57,1)))/((Assumptions!$D$77*IF(Assumptions!P$203=2027,1+Assumptions!$F$191,1)))</f>
        <v>0.0746434782608696</v>
      </c>
      <c r="Q84" s="73" t="n">
        <f aca="false">MAX(0,((Assumptions!$D$77*IF(Assumptions!Q$203=2027,1+Assumptions!$F$191,1)))*INDEX(Assumptions!$C$49:$C$57,MATCH((Assumptions!$D$77*IF(Assumptions!Q$203=2027,1+Assumptions!$F$191,1)),Assumptions!$A$49:$A$57,1))-INDEX(Assumptions!$D$49:$D$57,MATCH((Assumptions!$D$77*IF(Assumptions!Q$203=2027,1+Assumptions!$F$191,1)),Assumptions!$A$49:$A$57,1)))/((Assumptions!$D$77*IF(Assumptions!Q$203=2027,1+Assumptions!$F$191,1)))</f>
        <v>0.0784584212747995</v>
      </c>
      <c r="R84" s="73" t="n">
        <f aca="false">MAX(0,((Assumptions!$D$77*IF(Assumptions!R$203=2027,1+Assumptions!$F$191,1)))*INDEX(Assumptions!$C$49:$C$57,MATCH((Assumptions!$D$77*IF(Assumptions!R$203=2027,1+Assumptions!$F$191,1)),Assumptions!$A$49:$A$57,1))-INDEX(Assumptions!$D$49:$D$57,MATCH((Assumptions!$D$77*IF(Assumptions!R$203=2027,1+Assumptions!$F$191,1)),Assumptions!$A$49:$A$57,1)))/((Assumptions!$D$77*IF(Assumptions!R$203=2027,1+Assumptions!$F$191,1)))</f>
        <v>0.0784584212747995</v>
      </c>
      <c r="S84" s="73" t="n">
        <f aca="false">MAX(0,((Assumptions!$D$77*IF(Assumptions!S$203=2027,1+Assumptions!$F$191,1)))*INDEX(Assumptions!$C$49:$C$57,MATCH((Assumptions!$D$77*IF(Assumptions!S$203=2027,1+Assumptions!$F$191,1)),Assumptions!$A$49:$A$57,1))-INDEX(Assumptions!$D$49:$D$57,MATCH((Assumptions!$D$77*IF(Assumptions!S$203=2027,1+Assumptions!$F$191,1)),Assumptions!$A$49:$A$57,1)))/((Assumptions!$D$77*IF(Assumptions!S$203=2027,1+Assumptions!$F$191,1)))</f>
        <v>0.0784584212747995</v>
      </c>
      <c r="T84" s="73" t="n">
        <f aca="false">MAX(0,((Assumptions!$D$77*IF(Assumptions!T$203=2027,1+Assumptions!$F$191,1)))*INDEX(Assumptions!$C$49:$C$57,MATCH((Assumptions!$D$77*IF(Assumptions!T$203=2027,1+Assumptions!$F$191,1)),Assumptions!$A$49:$A$57,1))-INDEX(Assumptions!$D$49:$D$57,MATCH((Assumptions!$D$77*IF(Assumptions!T$203=2027,1+Assumptions!$F$191,1)),Assumptions!$A$49:$A$57,1)))/((Assumptions!$D$77*IF(Assumptions!T$203=2027,1+Assumptions!$F$191,1)))</f>
        <v>0.0784584212747995</v>
      </c>
      <c r="U84" s="73" t="n">
        <f aca="false">MAX(0,((Assumptions!$D$77*IF(Assumptions!U$203=2027,1+Assumptions!$F$191,1)))*INDEX(Assumptions!$C$49:$C$57,MATCH((Assumptions!$D$77*IF(Assumptions!U$203=2027,1+Assumptions!$F$191,1)),Assumptions!$A$49:$A$57,1))-INDEX(Assumptions!$D$49:$D$57,MATCH((Assumptions!$D$77*IF(Assumptions!U$203=2027,1+Assumptions!$F$191,1)),Assumptions!$A$49:$A$57,1)))/((Assumptions!$D$77*IF(Assumptions!U$203=2027,1+Assumptions!$F$191,1)))</f>
        <v>0.0784584212747995</v>
      </c>
      <c r="V84" s="73" t="n">
        <f aca="false">MAX(0,((Assumptions!$D$77*IF(Assumptions!V$203=2027,1+Assumptions!$F$191,1)))*INDEX(Assumptions!$C$49:$C$57,MATCH((Assumptions!$D$77*IF(Assumptions!V$203=2027,1+Assumptions!$F$191,1)),Assumptions!$A$49:$A$57,1))-INDEX(Assumptions!$D$49:$D$57,MATCH((Assumptions!$D$77*IF(Assumptions!V$203=2027,1+Assumptions!$F$191,1)),Assumptions!$A$49:$A$57,1)))/((Assumptions!$D$77*IF(Assumptions!V$203=2027,1+Assumptions!$F$191,1)))</f>
        <v>0.0784584212747995</v>
      </c>
      <c r="W84" s="73" t="n">
        <f aca="false">MAX(0,((Assumptions!$D$77*IF(Assumptions!W$203=2027,1+Assumptions!$F$191,1)))*INDEX(Assumptions!$C$49:$C$57,MATCH((Assumptions!$D$77*IF(Assumptions!W$203=2027,1+Assumptions!$F$191,1)),Assumptions!$A$49:$A$57,1))-INDEX(Assumptions!$D$49:$D$57,MATCH((Assumptions!$D$77*IF(Assumptions!W$203=2027,1+Assumptions!$F$191,1)),Assumptions!$A$49:$A$57,1)))/((Assumptions!$D$77*IF(Assumptions!W$203=2027,1+Assumptions!$F$191,1)))</f>
        <v>0.0784584212747995</v>
      </c>
      <c r="X84" s="73" t="n">
        <f aca="false">MAX(0,((Assumptions!$D$77*IF(Assumptions!X$203=2027,1+Assumptions!$F$191,1)))*INDEX(Assumptions!$C$49:$C$57,MATCH((Assumptions!$D$77*IF(Assumptions!X$203=2027,1+Assumptions!$F$191,1)),Assumptions!$A$49:$A$57,1))-INDEX(Assumptions!$D$49:$D$57,MATCH((Assumptions!$D$77*IF(Assumptions!X$203=2027,1+Assumptions!$F$191,1)),Assumptions!$A$49:$A$57,1)))/((Assumptions!$D$77*IF(Assumptions!X$203=2027,1+Assumptions!$F$191,1)))</f>
        <v>0.0784584212747995</v>
      </c>
      <c r="Y84" s="73" t="n">
        <f aca="false">MAX(0,((Assumptions!$D$77*IF(Assumptions!Y$203=2027,1+Assumptions!$F$191,1)))*INDEX(Assumptions!$C$49:$C$57,MATCH((Assumptions!$D$77*IF(Assumptions!Y$203=2027,1+Assumptions!$F$191,1)),Assumptions!$A$49:$A$57,1))-INDEX(Assumptions!$D$49:$D$57,MATCH((Assumptions!$D$77*IF(Assumptions!Y$203=2027,1+Assumptions!$F$191,1)),Assumptions!$A$49:$A$57,1)))/((Assumptions!$D$77*IF(Assumptions!Y$203=2027,1+Assumptions!$F$191,1)))</f>
        <v>0.0784584212747995</v>
      </c>
      <c r="Z84" s="73" t="n">
        <f aca="false">MAX(0,((Assumptions!$D$77*IF(Assumptions!Z$203=2027,1+Assumptions!$F$191,1)))*INDEX(Assumptions!$C$49:$C$57,MATCH((Assumptions!$D$77*IF(Assumptions!Z$203=2027,1+Assumptions!$F$191,1)),Assumptions!$A$49:$A$57,1))-INDEX(Assumptions!$D$49:$D$57,MATCH((Assumptions!$D$77*IF(Assumptions!Z$203=2027,1+Assumptions!$F$191,1)),Assumptions!$A$49:$A$57,1)))/((Assumptions!$D$77*IF(Assumptions!Z$203=2027,1+Assumptions!$F$191,1)))</f>
        <v>0.0784584212747995</v>
      </c>
      <c r="AA84" s="73" t="n">
        <f aca="false">MAX(0,((Assumptions!$D$77*IF(Assumptions!AA$203=2027,1+Assumptions!$F$191,1)))*INDEX(Assumptions!$C$49:$C$57,MATCH((Assumptions!$D$77*IF(Assumptions!AA$203=2027,1+Assumptions!$F$191,1)),Assumptions!$A$49:$A$57,1))-INDEX(Assumptions!$D$49:$D$57,MATCH((Assumptions!$D$77*IF(Assumptions!AA$203=2027,1+Assumptions!$F$191,1)),Assumptions!$A$49:$A$57,1)))/((Assumptions!$D$77*IF(Assumptions!AA$203=2027,1+Assumptions!$F$191,1)))</f>
        <v>0.0784584212747995</v>
      </c>
      <c r="AB84" s="73" t="n">
        <f aca="false">MAX(0,((Assumptions!$D$77*IF(Assumptions!AB$203=2027,1+Assumptions!$F$191,1)))*INDEX(Assumptions!$C$49:$C$57,MATCH((Assumptions!$D$77*IF(Assumptions!AB$203=2027,1+Assumptions!$F$191,1)),Assumptions!$A$49:$A$57,1))-INDEX(Assumptions!$D$49:$D$57,MATCH((Assumptions!$D$77*IF(Assumptions!AB$203=2027,1+Assumptions!$F$191,1)),Assumptions!$A$49:$A$57,1)))/((Assumptions!$D$77*IF(Assumptions!AB$203=2027,1+Assumptions!$F$191,1)))</f>
        <v>0.0784584212747995</v>
      </c>
    </row>
    <row r="85" customFormat="false" ht="15" hidden="false" customHeight="false" outlineLevel="0" collapsed="false">
      <c r="A85" s="21" t="s">
        <v>1156</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row>
    <row r="86" customFormat="false" ht="15" hidden="false" customHeight="false" outlineLevel="0" collapsed="false">
      <c r="A86" s="27" t="s">
        <v>1157</v>
      </c>
      <c r="B86" s="63"/>
      <c r="C86" s="74" t="n">
        <f aca="false">P86</f>
        <v>43.0180613336343</v>
      </c>
      <c r="D86" s="74" t="n">
        <f aca="false">AB86</f>
        <v>47.8827360705395</v>
      </c>
      <c r="E86" s="86" t="n">
        <f aca="false">E9+E10+E11+E12+E13+E14</f>
        <v>41</v>
      </c>
      <c r="F86" s="86" t="n">
        <f aca="false">F9+F10+F11+F12+F13+F14</f>
        <v>41</v>
      </c>
      <c r="G86" s="86" t="n">
        <f aca="false">G9+G10+G11+G12+G13+G14</f>
        <v>40</v>
      </c>
      <c r="H86" s="86" t="n">
        <f aca="false">H9+H10+H11+H12+H13+H14</f>
        <v>39</v>
      </c>
      <c r="I86" s="86" t="n">
        <f aca="false">I9+I10+I11+I12+I13+I14</f>
        <v>38</v>
      </c>
      <c r="J86" s="86" t="n">
        <f aca="false">J9+J10+J11+J12+J13+J14</f>
        <v>38</v>
      </c>
      <c r="K86" s="86" t="n">
        <f aca="false">K9+K10+K11+K12+K13+K14</f>
        <v>39</v>
      </c>
      <c r="L86" s="86" t="n">
        <f aca="false">L9+L10+L11+L12+L13+L14</f>
        <v>39</v>
      </c>
      <c r="M86" s="86" t="n">
        <f aca="false">M9+M10+M11+M12+M13+M14</f>
        <v>38.545</v>
      </c>
      <c r="N86" s="86" t="n">
        <f aca="false">N9+N10+N11+N12+N13+N14</f>
        <v>41.0953083333333</v>
      </c>
      <c r="O86" s="86" t="n">
        <f aca="false">O9+O10+O11+O12+O13+O14</f>
        <v>43.0708630694444</v>
      </c>
      <c r="P86" s="86" t="n">
        <f aca="false">P9+P10+P11+P12+P13+P14</f>
        <v>43.0180613336343</v>
      </c>
      <c r="Q86" s="86" t="n">
        <f aca="false">Q9+Q10+Q11+Q12+Q13+Q14</f>
        <v>44.9956292152974</v>
      </c>
      <c r="R86" s="86" t="n">
        <f aca="false">R9+R10+R11+R12+R13+R14</f>
        <v>44.9731736102625</v>
      </c>
      <c r="S86" s="86" t="n">
        <f aca="false">S9+S10+S11+S12+S13+S14</f>
        <v>45.9503639670351</v>
      </c>
      <c r="T86" s="86" t="n">
        <f aca="false">T9+T10+T11+T12+T13+T14</f>
        <v>46.9392253949315</v>
      </c>
      <c r="U86" s="86" t="n">
        <f aca="false">U9+U10+U11+U12+U13+U14</f>
        <v>46.9162881241104</v>
      </c>
      <c r="V86" s="86" t="n">
        <f aca="false">V9+V10+V11+V12+V13+V14</f>
        <v>47.9050190089445</v>
      </c>
      <c r="W86" s="86" t="n">
        <f aca="false">W9+W10+W11+W12+W13+W14</f>
        <v>47.893751416781</v>
      </c>
      <c r="X86" s="86" t="n">
        <f aca="false">X9+X10+X11+X12+X13+X14</f>
        <v>47.8823476783665</v>
      </c>
      <c r="Y86" s="86" t="n">
        <f aca="false">Y9+Y10+Y11+Y12+Y13+Y14</f>
        <v>47.8826121772233</v>
      </c>
      <c r="Z86" s="86" t="n">
        <f aca="false">Z9+Z10+Z11+Z12+Z13+Z14</f>
        <v>47.8827421350181</v>
      </c>
      <c r="AA86" s="86" t="n">
        <f aca="false">AA9+AA10+AA11+AA12+AA13+AA14</f>
        <v>47.8827375330239</v>
      </c>
      <c r="AB86" s="86" t="n">
        <f aca="false">AB9+AB10+AB11+AB12+AB13+AB14</f>
        <v>47.8827360705395</v>
      </c>
    </row>
    <row r="87" customFormat="false" ht="15" hidden="false" customHeight="false" outlineLevel="0" collapsed="false">
      <c r="A87" s="27" t="s">
        <v>1158</v>
      </c>
      <c r="B87" s="63" t="s">
        <v>1159</v>
      </c>
      <c r="C87" s="66" t="n">
        <f aca="false">SUM(E87:P87)</f>
        <v>773989.265351406</v>
      </c>
      <c r="D87" s="66" t="n">
        <f aca="false">SUM(Q87:AB87)</f>
        <v>919844.190399866</v>
      </c>
      <c r="E87" s="67" t="n">
        <f aca="false">IF(E$5="A",Inputs_Actuals!E185,E51+E52+E53+E54+E55+E56)</f>
        <v>66650</v>
      </c>
      <c r="F87" s="67" t="n">
        <f aca="false">IF(F$5="A",Inputs_Actuals!F185,F51+F52+F53+F54+F55+F56)</f>
        <v>66650</v>
      </c>
      <c r="G87" s="67" t="n">
        <f aca="false">IF(G$5="A",Inputs_Actuals!G185,G51+G52+G53+G54+G55+G56)</f>
        <v>65350</v>
      </c>
      <c r="H87" s="67" t="n">
        <f aca="false">IF(H$5="A",Inputs_Actuals!H185,H51+H52+H53+H54+H55+H56)</f>
        <v>63700</v>
      </c>
      <c r="I87" s="67" t="n">
        <f aca="false">IF(I$5="A",Inputs_Actuals!I185,I51+I52+I53+I54+I55+I56)</f>
        <v>62050</v>
      </c>
      <c r="J87" s="67" t="n">
        <f aca="false">IF(J$5="A",Inputs_Actuals!J185,J51+J52+J53+J54+J55+J56)</f>
        <v>61000</v>
      </c>
      <c r="K87" s="67" t="n">
        <f aca="false">IF(K$5="A",Inputs_Actuals!K185,K51+K52+K53+K54+K55+K56)</f>
        <v>62200</v>
      </c>
      <c r="L87" s="67" t="n">
        <f aca="false">IF(L$5="A",Inputs_Actuals!L185,L51+L52+L53+L54+L55+L56)</f>
        <v>62200</v>
      </c>
      <c r="M87" s="67" t="n">
        <f aca="false">IF(M$5="A",Inputs_Actuals!M185,M51+M52+M53+M54+M55+M56)</f>
        <v>61474.3333333333</v>
      </c>
      <c r="N87" s="67" t="n">
        <f aca="false">IF(N$5="A",Inputs_Actuals!N185,N51+N52+N53+N54+N55+N56)</f>
        <v>65257.1327777778</v>
      </c>
      <c r="O87" s="67" t="n">
        <f aca="false">IF(O$5="A",Inputs_Actuals!O185,O51+O52+O53+O54+O55+O56)</f>
        <v>68771.4662287037</v>
      </c>
      <c r="P87" s="67" t="n">
        <f aca="false">IF(P$5="A",Inputs_Actuals!P185,P51+P52+P53+P54+P55+P56)</f>
        <v>68686.3330115911</v>
      </c>
      <c r="Q87" s="67" t="n">
        <f aca="false">IF(Q$5="A",Inputs_Actuals!Q185,Q51+Q52+Q53+Q54+Q55+Q56)</f>
        <v>73744.2154457958</v>
      </c>
      <c r="R87" s="67" t="n">
        <f aca="false">IF(R$5="A",Inputs_Actuals!R185,R51+R52+R53+R54+R55+R56)</f>
        <v>73710.2700514431</v>
      </c>
      <c r="S87" s="67" t="n">
        <f aca="false">IF(S$5="A",Inputs_Actuals!S185,S51+S52+S53+S54+S55+S56)</f>
        <v>74911.6976691989</v>
      </c>
      <c r="T87" s="67" t="n">
        <f aca="false">IF(T$5="A",Inputs_Actuals!T185,T51+T52+T53+T54+T55+T56)</f>
        <v>76237.0770432592</v>
      </c>
      <c r="U87" s="67" t="n">
        <f aca="false">IF(U$5="A",Inputs_Actuals!U185,U51+U52+U53+U54+U55+U56)</f>
        <v>76207.5976283547</v>
      </c>
      <c r="V87" s="67" t="n">
        <f aca="false">IF(V$5="A",Inputs_Actuals!V185,V51+V52+V53+V54+V55+V56)</f>
        <v>77891.9787954978</v>
      </c>
      <c r="W87" s="67" t="n">
        <f aca="false">IF(W$5="A",Inputs_Actuals!W185,W51+W52+W53+W54+W55+W56)</f>
        <v>77872.6716083884</v>
      </c>
      <c r="X87" s="67" t="n">
        <f aca="false">IF(X$5="A",Inputs_Actuals!X185,X51+X52+X53+X54+X55+X56)</f>
        <v>77853.245745288</v>
      </c>
      <c r="Y87" s="67" t="n">
        <f aca="false">IF(Y$5="A",Inputs_Actuals!Y185,Y51+Y52+Y53+Y54+Y55+Y56)</f>
        <v>77853.6976308738</v>
      </c>
      <c r="Z87" s="67" t="n">
        <f aca="false">IF(Z$5="A",Inputs_Actuals!Z185,Z51+Z52+Z53+Z54+Z55+Z56)</f>
        <v>77853.9189939448</v>
      </c>
      <c r="AA87" s="67" t="n">
        <f aca="false">IF(AA$5="A",Inputs_Actuals!AA185,AA51+AA52+AA53+AA54+AA55+AA56)</f>
        <v>77853.9111393771</v>
      </c>
      <c r="AB87" s="67" t="n">
        <f aca="false">IF(AB$5="A",Inputs_Actuals!AB185,AB51+AB52+AB53+AB54+AB55+AB56)</f>
        <v>77853.9086484446</v>
      </c>
    </row>
    <row r="88" customFormat="false" ht="15" hidden="false" customHeight="false" outlineLevel="0" collapsed="false">
      <c r="A88" s="27" t="s">
        <v>1160</v>
      </c>
      <c r="B88" s="63" t="s">
        <v>1161</v>
      </c>
      <c r="C88" s="66" t="n">
        <f aca="false">SUM(E88:P88)</f>
        <v>63717.4319257469</v>
      </c>
      <c r="D88" s="66" t="n">
        <f aca="false">SUM(Q88:AB88)</f>
        <v>77096.8259602933</v>
      </c>
      <c r="E88" s="67" t="n">
        <f aca="false">E87*Assumptions!E$214</f>
        <v>2666</v>
      </c>
      <c r="F88" s="67" t="n">
        <f aca="false">F87*Assumptions!F$214</f>
        <v>3332.5</v>
      </c>
      <c r="G88" s="67" t="n">
        <f aca="false">G87*Assumptions!G$214</f>
        <v>3267.5</v>
      </c>
      <c r="H88" s="67" t="n">
        <f aca="false">H87*Assumptions!H$214</f>
        <v>5733</v>
      </c>
      <c r="I88" s="67" t="n">
        <f aca="false">I87*Assumptions!I$214</f>
        <v>3723</v>
      </c>
      <c r="J88" s="67" t="n">
        <f aca="false">J87*Assumptions!J$214</f>
        <v>5490</v>
      </c>
      <c r="K88" s="67" t="n">
        <f aca="false">K87*Assumptions!K$214</f>
        <v>8708</v>
      </c>
      <c r="L88" s="67" t="n">
        <f aca="false">L87*Assumptions!L$214</f>
        <v>13684</v>
      </c>
      <c r="M88" s="67" t="n">
        <f aca="false">M87*Assumptions!M$214</f>
        <v>4917.94666666667</v>
      </c>
      <c r="N88" s="67" t="n">
        <f aca="false">N87*Assumptions!N$214</f>
        <v>3262.85663888889</v>
      </c>
      <c r="O88" s="67" t="n">
        <f aca="false">O87*Assumptions!O$214</f>
        <v>2750.85864914815</v>
      </c>
      <c r="P88" s="67" t="n">
        <f aca="false">P87*Assumptions!P$214</f>
        <v>6181.76997104319</v>
      </c>
      <c r="Q88" s="67" t="n">
        <f aca="false">Q87*Assumptions!Q$214</f>
        <v>2949.76861783183</v>
      </c>
      <c r="R88" s="67" t="n">
        <f aca="false">R87*Assumptions!R$214</f>
        <v>3685.51350257215</v>
      </c>
      <c r="S88" s="67" t="n">
        <f aca="false">S87*Assumptions!S$214</f>
        <v>3745.58488345994</v>
      </c>
      <c r="T88" s="67" t="n">
        <f aca="false">T87*Assumptions!T$214</f>
        <v>6861.33693389333</v>
      </c>
      <c r="U88" s="67" t="n">
        <f aca="false">U87*Assumptions!U$214</f>
        <v>4572.45585770128</v>
      </c>
      <c r="V88" s="67" t="n">
        <f aca="false">V87*Assumptions!V$214</f>
        <v>7010.27809159481</v>
      </c>
      <c r="W88" s="67" t="n">
        <f aca="false">W87*Assumptions!W$214</f>
        <v>10902.1740251744</v>
      </c>
      <c r="X88" s="67" t="n">
        <f aca="false">X87*Assumptions!X$214</f>
        <v>17127.7140639634</v>
      </c>
      <c r="Y88" s="67" t="n">
        <f aca="false">Y87*Assumptions!Y$214</f>
        <v>6228.2958104699</v>
      </c>
      <c r="Z88" s="67" t="n">
        <f aca="false">Z87*Assumptions!Z$214</f>
        <v>3892.69594969724</v>
      </c>
      <c r="AA88" s="67" t="n">
        <f aca="false">AA87*Assumptions!AA$214</f>
        <v>3114.15644557509</v>
      </c>
      <c r="AB88" s="67" t="n">
        <f aca="false">AB87*Assumptions!AB$214</f>
        <v>7006.85177836001</v>
      </c>
    </row>
    <row r="89" customFormat="false" ht="15" hidden="false" customHeight="false" outlineLevel="0" collapsed="false">
      <c r="A89" s="27" t="s">
        <v>1162</v>
      </c>
      <c r="B89" s="63" t="s">
        <v>1163</v>
      </c>
      <c r="C89" s="66" t="n">
        <f aca="false">SUM(E89:P89)</f>
        <v>64499.1054459505</v>
      </c>
      <c r="D89" s="66" t="n">
        <f aca="false">SUM(Q89:AB89)</f>
        <v>76653.6825333222</v>
      </c>
      <c r="E89" s="76" t="n">
        <f aca="false">E87/12</f>
        <v>5554.16666666667</v>
      </c>
      <c r="F89" s="76" t="n">
        <f aca="false">F87/12</f>
        <v>5554.16666666667</v>
      </c>
      <c r="G89" s="76" t="n">
        <f aca="false">G87/12</f>
        <v>5445.83333333333</v>
      </c>
      <c r="H89" s="76" t="n">
        <f aca="false">H87/12</f>
        <v>5308.33333333333</v>
      </c>
      <c r="I89" s="76" t="n">
        <f aca="false">I87/12</f>
        <v>5170.83333333333</v>
      </c>
      <c r="J89" s="76" t="n">
        <f aca="false">J87/12</f>
        <v>5083.33333333333</v>
      </c>
      <c r="K89" s="76" t="n">
        <f aca="false">K87/12</f>
        <v>5183.33333333333</v>
      </c>
      <c r="L89" s="76" t="n">
        <f aca="false">L87/12</f>
        <v>5183.33333333333</v>
      </c>
      <c r="M89" s="76" t="n">
        <f aca="false">M87/12</f>
        <v>5122.86111111111</v>
      </c>
      <c r="N89" s="76" t="n">
        <f aca="false">N87/12</f>
        <v>5438.09439814815</v>
      </c>
      <c r="O89" s="76" t="n">
        <f aca="false">O87/12</f>
        <v>5730.95551905864</v>
      </c>
      <c r="P89" s="76" t="n">
        <f aca="false">P87/12</f>
        <v>5723.86108429925</v>
      </c>
      <c r="Q89" s="76" t="n">
        <f aca="false">Q87/12</f>
        <v>6145.35128714965</v>
      </c>
      <c r="R89" s="76" t="n">
        <f aca="false">R87/12</f>
        <v>6142.52250428692</v>
      </c>
      <c r="S89" s="76" t="n">
        <f aca="false">S87/12</f>
        <v>6242.64147243324</v>
      </c>
      <c r="T89" s="76" t="n">
        <f aca="false">T87/12</f>
        <v>6353.08975360493</v>
      </c>
      <c r="U89" s="76" t="n">
        <f aca="false">U87/12</f>
        <v>6350.63313569622</v>
      </c>
      <c r="V89" s="76" t="n">
        <f aca="false">V87/12</f>
        <v>6490.99823295815</v>
      </c>
      <c r="W89" s="76" t="n">
        <f aca="false">W87/12</f>
        <v>6489.38930069903</v>
      </c>
      <c r="X89" s="76" t="n">
        <f aca="false">X87/12</f>
        <v>6487.770478774</v>
      </c>
      <c r="Y89" s="76" t="n">
        <f aca="false">Y87/12</f>
        <v>6487.80813590615</v>
      </c>
      <c r="Z89" s="76" t="n">
        <f aca="false">Z87/12</f>
        <v>6487.82658282873</v>
      </c>
      <c r="AA89" s="76" t="n">
        <f aca="false">AA87/12</f>
        <v>6487.82592828143</v>
      </c>
      <c r="AB89" s="76" t="n">
        <f aca="false">AB87/12</f>
        <v>6487.82572070371</v>
      </c>
    </row>
    <row r="90" customFormat="false" ht="15" hidden="false" customHeight="false" outlineLevel="0" collapsed="false">
      <c r="A90" s="27" t="s">
        <v>1164</v>
      </c>
      <c r="B90" s="63" t="s">
        <v>1165</v>
      </c>
      <c r="C90" s="66" t="n">
        <f aca="false">SUM(E90:P90)</f>
        <v>128998.210891901</v>
      </c>
      <c r="D90" s="66" t="n">
        <f aca="false">SUM(Q90:AB90)</f>
        <v>153307.365066644</v>
      </c>
      <c r="E90" s="76" t="n">
        <f aca="false">E87*2/12</f>
        <v>11108.3333333333</v>
      </c>
      <c r="F90" s="76" t="n">
        <f aca="false">F87*2/12</f>
        <v>11108.3333333333</v>
      </c>
      <c r="G90" s="76" t="n">
        <f aca="false">G87*2/12</f>
        <v>10891.6666666667</v>
      </c>
      <c r="H90" s="76" t="n">
        <f aca="false">H87*2/12</f>
        <v>10616.6666666667</v>
      </c>
      <c r="I90" s="76" t="n">
        <f aca="false">I87*2/12</f>
        <v>10341.6666666667</v>
      </c>
      <c r="J90" s="76" t="n">
        <f aca="false">J87*2/12</f>
        <v>10166.6666666667</v>
      </c>
      <c r="K90" s="76" t="n">
        <f aca="false">K87*2/12</f>
        <v>10366.6666666667</v>
      </c>
      <c r="L90" s="76" t="n">
        <f aca="false">L87*2/12</f>
        <v>10366.6666666667</v>
      </c>
      <c r="M90" s="76" t="n">
        <f aca="false">M87*2/12</f>
        <v>10245.7222222222</v>
      </c>
      <c r="N90" s="76" t="n">
        <f aca="false">N87*2/12</f>
        <v>10876.1887962963</v>
      </c>
      <c r="O90" s="76" t="n">
        <f aca="false">O87*2/12</f>
        <v>11461.9110381173</v>
      </c>
      <c r="P90" s="76" t="n">
        <f aca="false">P87*2/12</f>
        <v>11447.7221685985</v>
      </c>
      <c r="Q90" s="76" t="n">
        <f aca="false">Q87*2/12</f>
        <v>12290.7025742993</v>
      </c>
      <c r="R90" s="76" t="n">
        <f aca="false">R87*2/12</f>
        <v>12285.0450085738</v>
      </c>
      <c r="S90" s="76" t="n">
        <f aca="false">S87*2/12</f>
        <v>12485.2829448665</v>
      </c>
      <c r="T90" s="76" t="n">
        <f aca="false">T87*2/12</f>
        <v>12706.1795072099</v>
      </c>
      <c r="U90" s="76" t="n">
        <f aca="false">U87*2/12</f>
        <v>12701.2662713924</v>
      </c>
      <c r="V90" s="76" t="n">
        <f aca="false">V87*2/12</f>
        <v>12981.9964659163</v>
      </c>
      <c r="W90" s="76" t="n">
        <f aca="false">W87*2/12</f>
        <v>12978.7786013981</v>
      </c>
      <c r="X90" s="76" t="n">
        <f aca="false">X87*2/12</f>
        <v>12975.540957548</v>
      </c>
      <c r="Y90" s="76" t="n">
        <f aca="false">Y87*2/12</f>
        <v>12975.6162718123</v>
      </c>
      <c r="Z90" s="76" t="n">
        <f aca="false">Z87*2/12</f>
        <v>12975.6531656575</v>
      </c>
      <c r="AA90" s="76" t="n">
        <f aca="false">AA87*2/12</f>
        <v>12975.6518565629</v>
      </c>
      <c r="AB90" s="76" t="n">
        <f aca="false">AB87*2/12</f>
        <v>12975.6514414074</v>
      </c>
    </row>
    <row r="91" customFormat="false" ht="15" hidden="false" customHeight="false" outlineLevel="0" collapsed="false">
      <c r="A91" s="27" t="s">
        <v>1166</v>
      </c>
      <c r="B91" s="63" t="s">
        <v>1167</v>
      </c>
      <c r="C91" s="66" t="n">
        <f aca="false">SUM(E91:P91)</f>
        <v>61000</v>
      </c>
      <c r="D91" s="66" t="n">
        <f aca="false">SUM(Q91:AB91)</f>
        <v>77891.9787954978</v>
      </c>
      <c r="E91" s="67" t="n">
        <f aca="false">IF(E$5="A",Inputs_Actuals!E186,IF(Assumptions!E$204=6,E87,0))</f>
        <v>0</v>
      </c>
      <c r="F91" s="67" t="n">
        <f aca="false">IF(F$5="A",Inputs_Actuals!F186,IF(Assumptions!F$204=6,F87,0))</f>
        <v>0</v>
      </c>
      <c r="G91" s="67" t="n">
        <f aca="false">IF(G$5="A",Inputs_Actuals!G186,IF(Assumptions!G$204=6,G87,0))</f>
        <v>0</v>
      </c>
      <c r="H91" s="67" t="n">
        <f aca="false">IF(H$5="A",Inputs_Actuals!H186,IF(Assumptions!H$204=6,H87,0))</f>
        <v>0</v>
      </c>
      <c r="I91" s="67" t="n">
        <f aca="false">IF(I$5="A",Inputs_Actuals!I186,IF(Assumptions!I$204=6,I87,0))</f>
        <v>0</v>
      </c>
      <c r="J91" s="67" t="n">
        <f aca="false">IF(J$5="A",Inputs_Actuals!J186,IF(Assumptions!J$204=6,J87,0))</f>
        <v>61000</v>
      </c>
      <c r="K91" s="67" t="n">
        <f aca="false">IF(K$5="A",Inputs_Actuals!K186,IF(Assumptions!K$204=6,K87,0))</f>
        <v>0</v>
      </c>
      <c r="L91" s="67" t="n">
        <f aca="false">IF(L$5="A",Inputs_Actuals!L186,IF(Assumptions!L$204=6,L87,0))</f>
        <v>0</v>
      </c>
      <c r="M91" s="67" t="n">
        <f aca="false">IF(M$5="A",Inputs_Actuals!M186,IF(Assumptions!M$204=6,M87,0))</f>
        <v>0</v>
      </c>
      <c r="N91" s="67" t="n">
        <f aca="false">IF(N$5="A",Inputs_Actuals!N186,IF(Assumptions!N$204=6,N87,0))</f>
        <v>0</v>
      </c>
      <c r="O91" s="67" t="n">
        <f aca="false">IF(O$5="A",Inputs_Actuals!O186,IF(Assumptions!O$204=6,O87,0))</f>
        <v>0</v>
      </c>
      <c r="P91" s="67" t="n">
        <f aca="false">IF(P$5="A",Inputs_Actuals!P186,IF(Assumptions!P$204=6,P87,0))</f>
        <v>0</v>
      </c>
      <c r="Q91" s="67" t="n">
        <f aca="false">IF(Q$5="A",Inputs_Actuals!Q186,IF(Assumptions!Q$204=6,Q87,0))</f>
        <v>0</v>
      </c>
      <c r="R91" s="67" t="n">
        <f aca="false">IF(R$5="A",Inputs_Actuals!R186,IF(Assumptions!R$204=6,R87,0))</f>
        <v>0</v>
      </c>
      <c r="S91" s="67" t="n">
        <f aca="false">IF(S$5="A",Inputs_Actuals!S186,IF(Assumptions!S$204=6,S87,0))</f>
        <v>0</v>
      </c>
      <c r="T91" s="67" t="n">
        <f aca="false">IF(T$5="A",Inputs_Actuals!T186,IF(Assumptions!T$204=6,T87,0))</f>
        <v>0</v>
      </c>
      <c r="U91" s="67" t="n">
        <f aca="false">IF(U$5="A",Inputs_Actuals!U186,IF(Assumptions!U$204=6,U87,0))</f>
        <v>0</v>
      </c>
      <c r="V91" s="67" t="n">
        <f aca="false">IF(V$5="A",Inputs_Actuals!V186,IF(Assumptions!V$204=6,V87,0))</f>
        <v>77891.9787954978</v>
      </c>
      <c r="W91" s="67" t="n">
        <f aca="false">IF(W$5="A",Inputs_Actuals!W186,IF(Assumptions!W$204=6,W87,0))</f>
        <v>0</v>
      </c>
      <c r="X91" s="67" t="n">
        <f aca="false">IF(X$5="A",Inputs_Actuals!X186,IF(Assumptions!X$204=6,X87,0))</f>
        <v>0</v>
      </c>
      <c r="Y91" s="67" t="n">
        <f aca="false">IF(Y$5="A",Inputs_Actuals!Y186,IF(Assumptions!Y$204=6,Y87,0))</f>
        <v>0</v>
      </c>
      <c r="Z91" s="67" t="n">
        <f aca="false">IF(Z$5="A",Inputs_Actuals!Z186,IF(Assumptions!Z$204=6,Z87,0))</f>
        <v>0</v>
      </c>
      <c r="AA91" s="67" t="n">
        <f aca="false">IF(AA$5="A",Inputs_Actuals!AA186,IF(Assumptions!AA$204=6,AA87,0))</f>
        <v>0</v>
      </c>
      <c r="AB91" s="67" t="n">
        <f aca="false">IF(AB$5="A",Inputs_Actuals!AB186,IF(Assumptions!AB$204=6,AB87,0))</f>
        <v>0</v>
      </c>
    </row>
    <row r="92" customFormat="false" ht="15" hidden="false" customHeight="false" outlineLevel="0" collapsed="false">
      <c r="A92" s="27" t="s">
        <v>1168</v>
      </c>
      <c r="B92" s="63" t="s">
        <v>1169</v>
      </c>
      <c r="C92" s="66" t="n">
        <f aca="false">SUM(E92:P92)</f>
        <v>64499.1054459505</v>
      </c>
      <c r="D92" s="66" t="n">
        <f aca="false">SUM(Q92:AB92)</f>
        <v>76653.6825333222</v>
      </c>
      <c r="E92" s="67" t="n">
        <f aca="false">IF(E$5="A",Inputs_Actuals!E187,IF(Assumptions!E$204=11,0/(1+Assumptions!$C$37)+2*E89,IF(Assumptions!E$204=12,0/(1+Assumptions!$C$37)+E89,0)))</f>
        <v>0</v>
      </c>
      <c r="F92" s="67" t="n">
        <f aca="false">IF(F$5="A",Inputs_Actuals!F187,IF(Assumptions!F$204=11,E100/(1+Assumptions!$C$37)+2*F89,IF(Assumptions!F$204=12,E100/(1+Assumptions!$C$37)+F89,0)))</f>
        <v>0</v>
      </c>
      <c r="G92" s="67" t="n">
        <f aca="false">IF(G$5="A",Inputs_Actuals!G187,IF(Assumptions!G$204=11,F100/(1+Assumptions!$C$37)+2*G89,IF(Assumptions!G$204=12,F100/(1+Assumptions!$C$37)+G89,0)))</f>
        <v>0</v>
      </c>
      <c r="H92" s="67" t="n">
        <f aca="false">IF(H$5="A",Inputs_Actuals!H187,IF(Assumptions!H$204=11,G100/(1+Assumptions!$C$37)+2*H89,IF(Assumptions!H$204=12,G100/(1+Assumptions!$C$37)+H89,0)))</f>
        <v>0</v>
      </c>
      <c r="I92" s="67" t="n">
        <f aca="false">IF(I$5="A",Inputs_Actuals!I187,IF(Assumptions!I$204=11,H100/(1+Assumptions!$C$37)+2*I89,IF(Assumptions!I$204=12,H100/(1+Assumptions!$C$37)+I89,0)))</f>
        <v>0</v>
      </c>
      <c r="J92" s="67" t="n">
        <f aca="false">IF(J$5="A",Inputs_Actuals!J187,IF(Assumptions!J$204=11,I100/(1+Assumptions!$C$37)+2*J89,IF(Assumptions!J$204=12,I100/(1+Assumptions!$C$37)+J89,0)))</f>
        <v>0</v>
      </c>
      <c r="K92" s="67" t="n">
        <f aca="false">IF(K$5="A",Inputs_Actuals!K187,IF(Assumptions!K$204=11,J100/(1+Assumptions!$C$37)+2*K89,IF(Assumptions!K$204=12,J100/(1+Assumptions!$C$37)+K89,0)))</f>
        <v>0</v>
      </c>
      <c r="L92" s="67" t="n">
        <f aca="false">IF(L$5="A",Inputs_Actuals!L187,IF(Assumptions!L$204=11,K100/(1+Assumptions!$C$37)+2*L89,IF(Assumptions!L$204=12,K100/(1+Assumptions!$C$37)+L89,0)))</f>
        <v>0</v>
      </c>
      <c r="M92" s="67" t="n">
        <f aca="false">IF(M$5="A",Inputs_Actuals!M187,IF(Assumptions!M$204=11,L100/(1+Assumptions!$C$37)+2*M89,IF(Assumptions!M$204=12,L100/(1+Assumptions!$C$37)+M89,0)))</f>
        <v>0</v>
      </c>
      <c r="N92" s="67" t="n">
        <f aca="false">IF(N$5="A",Inputs_Actuals!N187,IF(Assumptions!N$204=11,M100/(1+Assumptions!$C$37)+2*N89,IF(Assumptions!N$204=12,M100/(1+Assumptions!$C$37)+N89,0)))</f>
        <v>0</v>
      </c>
      <c r="O92" s="67" t="n">
        <f aca="false">IF(O$5="A",Inputs_Actuals!O187,IF(Assumptions!O$204=11,N100/(1+Assumptions!$C$37)+2*O89,IF(Assumptions!O$204=12,N100/(1+Assumptions!$C$37)+O89,0)))</f>
        <v>64506.1998807099</v>
      </c>
      <c r="P92" s="67" t="n">
        <f aca="false">IF(P$5="A",Inputs_Actuals!P187,IF(Assumptions!P$204=11,O100/(1+Assumptions!$C$37)+2*P89,IF(Assumptions!P$204=12,O100/(1+Assumptions!$C$37)+P89,0)))</f>
        <v>-7.09443475938861</v>
      </c>
      <c r="Q92" s="67" t="n">
        <f aca="false">IF(Q$5="A",Inputs_Actuals!Q187,IF(Assumptions!Q$204=11,P100/(1+Assumptions!$C$37)+2*Q89,IF(Assumptions!Q$204=12,P100/(1+Assumptions!$C$37)+Q89,0)))</f>
        <v>0</v>
      </c>
      <c r="R92" s="67" t="n">
        <f aca="false">IF(R$5="A",Inputs_Actuals!R187,IF(Assumptions!R$204=11,Q100/(1+Assumptions!$C$37)+2*R89,IF(Assumptions!R$204=12,Q100/(1+Assumptions!$C$37)+R89,0)))</f>
        <v>0</v>
      </c>
      <c r="S92" s="67" t="n">
        <f aca="false">IF(S$5="A",Inputs_Actuals!S187,IF(Assumptions!S$204=11,R100/(1+Assumptions!$C$37)+2*S89,IF(Assumptions!S$204=12,R100/(1+Assumptions!$C$37)+S89,0)))</f>
        <v>0</v>
      </c>
      <c r="T92" s="67" t="n">
        <f aca="false">IF(T$5="A",Inputs_Actuals!T187,IF(Assumptions!T$204=11,S100/(1+Assumptions!$C$37)+2*T89,IF(Assumptions!T$204=12,S100/(1+Assumptions!$C$37)+T89,0)))</f>
        <v>0</v>
      </c>
      <c r="U92" s="67" t="n">
        <f aca="false">IF(U$5="A",Inputs_Actuals!U187,IF(Assumptions!U$204=11,T100/(1+Assumptions!$C$37)+2*U89,IF(Assumptions!U$204=12,T100/(1+Assumptions!$C$37)+U89,0)))</f>
        <v>0</v>
      </c>
      <c r="V92" s="67" t="n">
        <f aca="false">IF(V$5="A",Inputs_Actuals!V187,IF(Assumptions!V$204=11,U100/(1+Assumptions!$C$37)+2*V89,IF(Assumptions!V$204=12,U100/(1+Assumptions!$C$37)+V89,0)))</f>
        <v>0</v>
      </c>
      <c r="W92" s="67" t="n">
        <f aca="false">IF(W$5="A",Inputs_Actuals!W187,IF(Assumptions!W$204=11,V100/(1+Assumptions!$C$37)+2*W89,IF(Assumptions!W$204=12,V100/(1+Assumptions!$C$37)+W89,0)))</f>
        <v>0</v>
      </c>
      <c r="X92" s="67" t="n">
        <f aca="false">IF(X$5="A",Inputs_Actuals!X187,IF(Assumptions!X$204=11,W100/(1+Assumptions!$C$37)+2*X89,IF(Assumptions!X$204=12,W100/(1+Assumptions!$C$37)+X89,0)))</f>
        <v>0</v>
      </c>
      <c r="Y92" s="67" t="n">
        <f aca="false">IF(Y$5="A",Inputs_Actuals!Y187,IF(Assumptions!Y$204=11,X100/(1+Assumptions!$C$37)+2*Y89,IF(Assumptions!Y$204=12,X100/(1+Assumptions!$C$37)+Y89,0)))</f>
        <v>0</v>
      </c>
      <c r="Z92" s="67" t="n">
        <f aca="false">IF(Z$5="A",Inputs_Actuals!Z187,IF(Assumptions!Z$204=11,Y100/(1+Assumptions!$C$37)+2*Z89,IF(Assumptions!Z$204=12,Y100/(1+Assumptions!$C$37)+Z89,0)))</f>
        <v>0</v>
      </c>
      <c r="AA92" s="67" t="n">
        <f aca="false">IF(AA$5="A",Inputs_Actuals!AA187,IF(Assumptions!AA$204=11,Z100/(1+Assumptions!$C$37)+2*AA89,IF(Assumptions!AA$204=12,Z100/(1+Assumptions!$C$37)+AA89,0)))</f>
        <v>76653.6827408999</v>
      </c>
      <c r="AB92" s="67" t="n">
        <f aca="false">IF(AB$5="A",Inputs_Actuals!AB187,IF(Assumptions!AB$204=11,AA100/(1+Assumptions!$C$37)+2*AB89,IF(Assumptions!AB$204=12,AA100/(1+Assumptions!$C$37)+AB89,0)))</f>
        <v>-0.000207577706532902</v>
      </c>
    </row>
    <row r="93" customFormat="false" ht="15" hidden="false" customHeight="false" outlineLevel="0" collapsed="false">
      <c r="A93" s="27" t="s">
        <v>1170</v>
      </c>
      <c r="B93" s="63"/>
      <c r="C93" s="66" t="n">
        <f aca="false">SUM(E93:P93)</f>
        <v>899488.370797356</v>
      </c>
      <c r="D93" s="66" t="n">
        <f aca="false">SUM(Q93:AB93)</f>
        <v>1074389.85172869</v>
      </c>
      <c r="E93" s="76" t="n">
        <f aca="false">E87+E91+E92</f>
        <v>66650</v>
      </c>
      <c r="F93" s="76" t="n">
        <f aca="false">F87+F91+F92</f>
        <v>66650</v>
      </c>
      <c r="G93" s="76" t="n">
        <f aca="false">G87+G91+G92</f>
        <v>65350</v>
      </c>
      <c r="H93" s="76" t="n">
        <f aca="false">H87+H91+H92</f>
        <v>63700</v>
      </c>
      <c r="I93" s="76" t="n">
        <f aca="false">I87+I91+I92</f>
        <v>62050</v>
      </c>
      <c r="J93" s="76" t="n">
        <f aca="false">J87+J91+J92</f>
        <v>122000</v>
      </c>
      <c r="K93" s="76" t="n">
        <f aca="false">K87+K91+K92</f>
        <v>62200</v>
      </c>
      <c r="L93" s="76" t="n">
        <f aca="false">L87+L91+L92</f>
        <v>62200</v>
      </c>
      <c r="M93" s="76" t="n">
        <f aca="false">M87+M91+M92</f>
        <v>61474.3333333333</v>
      </c>
      <c r="N93" s="76" t="n">
        <f aca="false">N87+N91+N92</f>
        <v>65257.1327777778</v>
      </c>
      <c r="O93" s="76" t="n">
        <f aca="false">O87+O91+O92</f>
        <v>133277.666109414</v>
      </c>
      <c r="P93" s="76" t="n">
        <f aca="false">P87+P91+P92</f>
        <v>68679.2385768317</v>
      </c>
      <c r="Q93" s="76" t="n">
        <f aca="false">Q87+Q91+Q92</f>
        <v>73744.2154457958</v>
      </c>
      <c r="R93" s="76" t="n">
        <f aca="false">R87+R91+R92</f>
        <v>73710.2700514431</v>
      </c>
      <c r="S93" s="76" t="n">
        <f aca="false">S87+S91+S92</f>
        <v>74911.6976691989</v>
      </c>
      <c r="T93" s="76" t="n">
        <f aca="false">T87+T91+T92</f>
        <v>76237.0770432592</v>
      </c>
      <c r="U93" s="76" t="n">
        <f aca="false">U87+U91+U92</f>
        <v>76207.5976283547</v>
      </c>
      <c r="V93" s="76" t="n">
        <f aca="false">V87+V91+V92</f>
        <v>155783.957590996</v>
      </c>
      <c r="W93" s="76" t="n">
        <f aca="false">W87+W91+W92</f>
        <v>77872.6716083884</v>
      </c>
      <c r="X93" s="76" t="n">
        <f aca="false">X87+X91+X92</f>
        <v>77853.245745288</v>
      </c>
      <c r="Y93" s="76" t="n">
        <f aca="false">Y87+Y91+Y92</f>
        <v>77853.6976308738</v>
      </c>
      <c r="Z93" s="76" t="n">
        <f aca="false">Z87+Z91+Z92</f>
        <v>77853.9189939448</v>
      </c>
      <c r="AA93" s="76" t="n">
        <f aca="false">AA87+AA91+AA92</f>
        <v>154507.593880277</v>
      </c>
      <c r="AB93" s="76" t="n">
        <f aca="false">AB87+AB91+AB92</f>
        <v>77853.9084408669</v>
      </c>
    </row>
    <row r="94" customFormat="false" ht="15" hidden="false" customHeight="false" outlineLevel="0" collapsed="false">
      <c r="A94" s="27" t="s">
        <v>1171</v>
      </c>
      <c r="B94" s="63" t="s">
        <v>1172</v>
      </c>
      <c r="C94" s="66" t="n">
        <f aca="false">SUM(E94:P94)</f>
        <v>213628.498064372</v>
      </c>
      <c r="D94" s="66" t="n">
        <f aca="false">SUM(Q94:AB94)</f>
        <v>255167.589785563</v>
      </c>
      <c r="E94" s="67" t="n">
        <f aca="false">IF(E$5="A",Inputs_Actuals!E188,E93*Assumptions!$C$37)</f>
        <v>15829.38</v>
      </c>
      <c r="F94" s="67" t="n">
        <f aca="false">IF(F$5="A",Inputs_Actuals!F188,F93*Assumptions!$C$37)</f>
        <v>15829.38</v>
      </c>
      <c r="G94" s="67" t="n">
        <f aca="false">IF(G$5="A",Inputs_Actuals!G188,G93*Assumptions!$C$37)</f>
        <v>15520.62</v>
      </c>
      <c r="H94" s="67" t="n">
        <f aca="false">IF(H$5="A",Inputs_Actuals!H188,H93*Assumptions!$C$37)</f>
        <v>15128.75</v>
      </c>
      <c r="I94" s="67" t="n">
        <f aca="false">IF(I$5="A",Inputs_Actuals!I188,I93*Assumptions!$C$37)</f>
        <v>14736.88</v>
      </c>
      <c r="J94" s="67" t="n">
        <f aca="false">IF(J$5="A",Inputs_Actuals!J188,J93*Assumptions!$C$37)</f>
        <v>28975</v>
      </c>
      <c r="K94" s="67" t="n">
        <f aca="false">IF(K$5="A",Inputs_Actuals!K188,K93*Assumptions!$C$37)</f>
        <v>14772.5</v>
      </c>
      <c r="L94" s="67" t="n">
        <f aca="false">IF(L$5="A",Inputs_Actuals!L188,L93*Assumptions!$C$37)</f>
        <v>14772.5</v>
      </c>
      <c r="M94" s="67" t="n">
        <f aca="false">IF(M$5="A",Inputs_Actuals!M188,M93*Assumptions!$C$37)</f>
        <v>14600.1541666667</v>
      </c>
      <c r="N94" s="67" t="n">
        <f aca="false">IF(N$5="A",Inputs_Actuals!N188,N93*Assumptions!$C$37)</f>
        <v>15498.5690347222</v>
      </c>
      <c r="O94" s="67" t="n">
        <f aca="false">IF(O$5="A",Inputs_Actuals!O188,O93*Assumptions!$C$37)</f>
        <v>31653.4457009857</v>
      </c>
      <c r="P94" s="67" t="n">
        <f aca="false">IF(P$5="A",Inputs_Actuals!P188,P93*Assumptions!$C$37)</f>
        <v>16311.3191619975</v>
      </c>
      <c r="Q94" s="67" t="n">
        <f aca="false">IF(Q$5="A",Inputs_Actuals!Q188,Q93*Assumptions!$C$37)</f>
        <v>17514.2511683765</v>
      </c>
      <c r="R94" s="67" t="n">
        <f aca="false">IF(R$5="A",Inputs_Actuals!R188,R93*Assumptions!$C$37)</f>
        <v>17506.1891372177</v>
      </c>
      <c r="S94" s="67" t="n">
        <f aca="false">IF(S$5="A",Inputs_Actuals!S188,S93*Assumptions!$C$37)</f>
        <v>17791.5281964347</v>
      </c>
      <c r="T94" s="67" t="n">
        <f aca="false">IF(T$5="A",Inputs_Actuals!T188,T93*Assumptions!$C$37)</f>
        <v>18106.3057977741</v>
      </c>
      <c r="U94" s="67" t="n">
        <f aca="false">IF(U$5="A",Inputs_Actuals!U188,U93*Assumptions!$C$37)</f>
        <v>18099.3044367342</v>
      </c>
      <c r="V94" s="67" t="n">
        <f aca="false">IF(V$5="A",Inputs_Actuals!V188,V93*Assumptions!$C$37)</f>
        <v>36998.6899278615</v>
      </c>
      <c r="W94" s="67" t="n">
        <f aca="false">IF(W$5="A",Inputs_Actuals!W188,W93*Assumptions!$C$37)</f>
        <v>18494.7595069922</v>
      </c>
      <c r="X94" s="67" t="n">
        <f aca="false">IF(X$5="A",Inputs_Actuals!X188,X93*Assumptions!$C$37)</f>
        <v>18490.1458645059</v>
      </c>
      <c r="Y94" s="67" t="n">
        <f aca="false">IF(Y$5="A",Inputs_Actuals!Y188,Y93*Assumptions!$C$37)</f>
        <v>18490.2531873325</v>
      </c>
      <c r="Z94" s="67" t="n">
        <f aca="false">IF(Z$5="A",Inputs_Actuals!Z188,Z93*Assumptions!$C$37)</f>
        <v>18490.3057610619</v>
      </c>
      <c r="AA94" s="67" t="n">
        <f aca="false">IF(AA$5="A",Inputs_Actuals!AA188,AA93*Assumptions!$C$37)</f>
        <v>36695.5535465658</v>
      </c>
      <c r="AB94" s="67" t="n">
        <f aca="false">IF(AB$5="A",Inputs_Actuals!AB188,AB93*Assumptions!$C$37)</f>
        <v>18490.3032547059</v>
      </c>
    </row>
    <row r="95" customFormat="false" ht="15" hidden="false" customHeight="false" outlineLevel="0" collapsed="false">
      <c r="A95" s="27" t="s">
        <v>1173</v>
      </c>
      <c r="B95" s="63" t="s">
        <v>1174</v>
      </c>
      <c r="C95" s="66" t="n">
        <f aca="false">SUM(E95:P95)</f>
        <v>98943.7207877092</v>
      </c>
      <c r="D95" s="66" t="n">
        <f aca="false">SUM(Q95:AB95)</f>
        <v>118182.883690155</v>
      </c>
      <c r="E95" s="67" t="n">
        <f aca="false">IF(E$5="A",Inputs_Actuals!E189,E93*Assumptions!$C$38)</f>
        <v>7331.5</v>
      </c>
      <c r="F95" s="67" t="n">
        <f aca="false">IF(F$5="A",Inputs_Actuals!F189,F93*Assumptions!$C$38)</f>
        <v>7331.5</v>
      </c>
      <c r="G95" s="67" t="n">
        <f aca="false">IF(G$5="A",Inputs_Actuals!G189,G93*Assumptions!$C$38)</f>
        <v>7188.5</v>
      </c>
      <c r="H95" s="67" t="n">
        <f aca="false">IF(H$5="A",Inputs_Actuals!H189,H93*Assumptions!$C$38)</f>
        <v>7007</v>
      </c>
      <c r="I95" s="67" t="n">
        <f aca="false">IF(I$5="A",Inputs_Actuals!I189,I93*Assumptions!$C$38)</f>
        <v>6825.5</v>
      </c>
      <c r="J95" s="67" t="n">
        <f aca="false">IF(J$5="A",Inputs_Actuals!J189,J93*Assumptions!$C$38)</f>
        <v>13420</v>
      </c>
      <c r="K95" s="67" t="n">
        <f aca="false">IF(K$5="A",Inputs_Actuals!K189,K93*Assumptions!$C$38)</f>
        <v>6842</v>
      </c>
      <c r="L95" s="67" t="n">
        <f aca="false">IF(L$5="A",Inputs_Actuals!L189,L93*Assumptions!$C$38)</f>
        <v>6842</v>
      </c>
      <c r="M95" s="67" t="n">
        <f aca="false">IF(M$5="A",Inputs_Actuals!M189,M93*Assumptions!$C$38)</f>
        <v>6762.17666666667</v>
      </c>
      <c r="N95" s="67" t="n">
        <f aca="false">IF(N$5="A",Inputs_Actuals!N189,N93*Assumptions!$C$38)</f>
        <v>7178.28460555556</v>
      </c>
      <c r="O95" s="67" t="n">
        <f aca="false">IF(O$5="A",Inputs_Actuals!O189,O93*Assumptions!$C$38)</f>
        <v>14660.5432720355</v>
      </c>
      <c r="P95" s="67" t="n">
        <f aca="false">IF(P$5="A",Inputs_Actuals!P189,P93*Assumptions!$C$38)</f>
        <v>7554.71624345148</v>
      </c>
      <c r="Q95" s="67" t="n">
        <f aca="false">IF(Q$5="A",Inputs_Actuals!Q189,Q93*Assumptions!$C$38)</f>
        <v>8111.86369903754</v>
      </c>
      <c r="R95" s="67" t="n">
        <f aca="false">IF(R$5="A",Inputs_Actuals!R189,R93*Assumptions!$C$38)</f>
        <v>8108.12970565874</v>
      </c>
      <c r="S95" s="67" t="n">
        <f aca="false">IF(S$5="A",Inputs_Actuals!S189,S93*Assumptions!$C$38)</f>
        <v>8240.28674361188</v>
      </c>
      <c r="T95" s="67" t="n">
        <f aca="false">IF(T$5="A",Inputs_Actuals!T189,T93*Assumptions!$C$38)</f>
        <v>8386.07847475851</v>
      </c>
      <c r="U95" s="67" t="n">
        <f aca="false">IF(U$5="A",Inputs_Actuals!U189,U93*Assumptions!$C$38)</f>
        <v>8382.83573911901</v>
      </c>
      <c r="V95" s="67" t="n">
        <f aca="false">IF(V$5="A",Inputs_Actuals!V189,V93*Assumptions!$C$38)</f>
        <v>17136.2353350095</v>
      </c>
      <c r="W95" s="67" t="n">
        <f aca="false">IF(W$5="A",Inputs_Actuals!W189,W93*Assumptions!$C$38)</f>
        <v>8565.99387692272</v>
      </c>
      <c r="X95" s="67" t="n">
        <f aca="false">IF(X$5="A",Inputs_Actuals!X189,X93*Assumptions!$C$38)</f>
        <v>8563.85703198168</v>
      </c>
      <c r="Y95" s="67" t="n">
        <f aca="false">IF(Y$5="A",Inputs_Actuals!Y189,Y93*Assumptions!$C$38)</f>
        <v>8563.90673939612</v>
      </c>
      <c r="Z95" s="67" t="n">
        <f aca="false">IF(Z$5="A",Inputs_Actuals!Z189,Z93*Assumptions!$C$38)</f>
        <v>8563.93108933393</v>
      </c>
      <c r="AA95" s="67" t="n">
        <f aca="false">IF(AA$5="A",Inputs_Actuals!AA189,AA93*Assumptions!$C$38)</f>
        <v>16995.8353268305</v>
      </c>
      <c r="AB95" s="67" t="n">
        <f aca="false">IF(AB$5="A",Inputs_Actuals!AB189,AB93*Assumptions!$C$38)</f>
        <v>8563.92992849536</v>
      </c>
    </row>
    <row r="96" customFormat="false" ht="15" hidden="false" customHeight="false" outlineLevel="0" collapsed="false">
      <c r="A96" s="27" t="s">
        <v>1175</v>
      </c>
      <c r="B96" s="63" t="s">
        <v>1176</v>
      </c>
      <c r="C96" s="66" t="n">
        <f aca="false">SUM(E96:P96)</f>
        <v>114598.52149662</v>
      </c>
      <c r="D96" s="66" t="n">
        <f aca="false">SUM(Q96:AB96)</f>
        <v>138307.913981152</v>
      </c>
      <c r="E96" s="67" t="n">
        <f aca="false">IF(E$5="A",Inputs_Actuals!E190,IF((E51+E52+E53+E54+E55+E56)=0,0,(E68*E51+E69*E52+E70*E53+E71*E54+E72*E55+E73*E56)/(E51+E52+E53+E54+E55+E56))*(E87+E91+E92))</f>
        <v>8583.08</v>
      </c>
      <c r="F96" s="67" t="n">
        <f aca="false">IF(F$5="A",Inputs_Actuals!F190,IF((F51+F52+F53+F54+F55+F56)=0,0,(F68*F51+F69*F52+F70*F53+F71*F54+F72*F55+F73*F56)/(F51+F52+F53+F54+F55+F56))*(F87+F91+F92))</f>
        <v>8583.08</v>
      </c>
      <c r="G96" s="67" t="n">
        <f aca="false">IF(G$5="A",Inputs_Actuals!G190,IF((G51+G52+G53+G54+G55+G56)=0,0,(G68*G51+G69*G52+G70*G53+G71*G54+G72*G55+G73*G56)/(G51+G52+G53+G54+G55+G56))*(G87+G91+G92))</f>
        <v>8463.11</v>
      </c>
      <c r="H96" s="67" t="n">
        <f aca="false">IF(H$5="A",Inputs_Actuals!H190,IF((H51+H52+H53+H54+H55+H56)=0,0,(H68*H51+H69*H52+H70*H53+H71*H54+H72*H55+H73*H56)/(H51+H52+H53+H54+H55+H56))*(H87+H91+H92))</f>
        <v>8258.79</v>
      </c>
      <c r="I96" s="67" t="n">
        <f aca="false">IF(I$5="A",Inputs_Actuals!I190,IF((I51+I52+I53+I54+I55+I56)=0,0,(I68*I51+I69*I52+I70*I53+I71*I54+I72*I55+I73*I56)/(I51+I52+I53+I54+I55+I56))*(I87+I91+I92))</f>
        <v>8054.47</v>
      </c>
      <c r="J96" s="67" t="n">
        <f aca="false">IF(J$5="A",Inputs_Actuals!J190,IF((J51+J52+J53+J54+J55+J56)=0,0,(J68*J51+J69*J52+J70*J53+J71*J54+J72*J55+J73*J56)/(J51+J52+J53+J54+J55+J56))*(J87+J91+J92))</f>
        <v>15510.96</v>
      </c>
      <c r="K96" s="67" t="n">
        <f aca="false">IF(K$5="A",Inputs_Actuals!K190,IF((K51+K52+K53+K54+K55+K56)=0,0,(K68*K51+K69*K52+K70*K53+K71*K54+K72*K55+K73*K56)/(K51+K52+K53+K54+K55+K56))*(K87+K91+K92))</f>
        <v>7851.7</v>
      </c>
      <c r="L96" s="67" t="n">
        <f aca="false">IF(L$5="A",Inputs_Actuals!L190,IF((L51+L52+L53+L54+L55+L56)=0,0,(L68*L51+L69*L52+L70*L53+L71*L54+L72*L55+L73*L56)/(L51+L52+L53+L54+L55+L56))*(L87+L91+L92))</f>
        <v>7851.7</v>
      </c>
      <c r="M96" s="67" t="n">
        <f aca="false">IF(M$5="A",Inputs_Actuals!M190,IF((M51+M52+M53+M54+M55+M56)=0,0,(M68*M51+M69*M52+M70*M53+M71*M54+M72*M55+M73*M56)/(M51+M52+M53+M54+M55+M56))*(M87+M91+M92))</f>
        <v>7760.09683333333</v>
      </c>
      <c r="N96" s="67" t="n">
        <f aca="false">IF(N$5="A",Inputs_Actuals!N190,IF((N51+N52+N53+N54+N55+N56)=0,0,(N68*N51+N69*N52+N70*N53+N71*N54+N72*N55+N73*N56)/(N51+N52+N53+N54+N55+N56))*(N87+N91+N92))</f>
        <v>8174.42237027778</v>
      </c>
      <c r="O96" s="67" t="n">
        <f aca="false">IF(O$5="A",Inputs_Actuals!O190,IF((O51+O52+O53+O54+O55+O56)=0,0,(O68*O51+O69*O52+O70*O53+O71*O54+O72*O55+O73*O56)/(O51+O52+O53+O54+O55+O56))*(O87+O91+O92))</f>
        <v>16832.9713444824</v>
      </c>
      <c r="P96" s="67" t="n">
        <f aca="false">IF(P$5="A",Inputs_Actuals!P190,IF((P51+P52+P53+P54+P55+P56)=0,0,(P68*P51+P69*P52+P70*P53+P71*P54+P72*P55+P73*P56)/(P51+P52+P53+P54+P55+P56))*(P87+P91+P92))</f>
        <v>8674.14094852681</v>
      </c>
      <c r="Q96" s="67" t="n">
        <f aca="false">IF(Q$5="A",Inputs_Actuals!Q190,IF((Q51+Q52+Q53+Q54+Q55+Q56)=0,0,(Q68*Q51+Q69*Q52+Q70*Q53+Q71*Q54+Q72*Q55+Q73*Q56)/(Q51+Q52+Q53+Q54+Q55+Q56))*(Q87+Q91+Q92))</f>
        <v>9572.79361685184</v>
      </c>
      <c r="R96" s="67" t="n">
        <f aca="false">IF(R$5="A",Inputs_Actuals!R190,IF((R51+R52+R53+R54+R55+R56)=0,0,(R68*R51+R69*R52+R70*R53+R71*R54+R72*R55+R73*R56)/(R51+R52+R53+R54+R55+R56))*(R87+R91+R92))</f>
        <v>9568.96793625586</v>
      </c>
      <c r="S96" s="67" t="n">
        <f aca="false">IF(S$5="A",Inputs_Actuals!S190,IF((S51+S52+S53+S54+S55+S56)=0,0,(S68*S51+S69*S52+S70*S53+S71*S54+S72*S55+S73*S56)/(S51+S52+S53+S54+S55+S56))*(S87+S91+S92))</f>
        <v>9669.59884854708</v>
      </c>
      <c r="T96" s="67" t="n">
        <f aca="false">IF(T$5="A",Inputs_Actuals!T190,IF((T51+T52+T53+T54+T55+T56)=0,0,(T68*T51+T69*T52+T70*T53+T71*T54+T72*T55+T73*T56)/(T51+T52+T53+T54+T55+T56))*(T87+T91+T92))</f>
        <v>9797.8384541773</v>
      </c>
      <c r="U96" s="67" t="n">
        <f aca="false">IF(U$5="A",Inputs_Actuals!U190,IF((U51+U52+U53+U54+U55+U56)=0,0,(U68*U51+U69*U52+U70*U53+U71*U54+U72*U55+U73*U56)/(U51+U52+U53+U54+U55+U56))*(U87+U91+U92))</f>
        <v>9795.16829813488</v>
      </c>
      <c r="V96" s="67" t="n">
        <f aca="false">IF(V$5="A",Inputs_Actuals!V190,IF((V51+V52+V53+V54+V55+V56)=0,0,(V68*V51+V69*V52+V70*V53+V71*V54+V72*V55+V73*V56)/(V51+V52+V53+V54+V55+V56))*(V87+V91+V92))</f>
        <v>20019.905642446</v>
      </c>
      <c r="W96" s="67" t="n">
        <f aca="false">IF(W$5="A",Inputs_Actuals!W190,IF((W51+W52+W53+W54+W55+W56)=0,0,(W68*W51+W69*W52+W70*W53+W71*W54+W72*W55+W73*W56)/(W51+W52+W53+W54+W55+W56))*(W87+W91+W92))</f>
        <v>10007.4781536075</v>
      </c>
      <c r="X96" s="67" t="n">
        <f aca="false">IF(X$5="A",Inputs_Actuals!X190,IF((X51+X52+X53+X54+X55+X56)=0,0,(X68*X51+X69*X52+X70*X53+X71*X54+X72*X55+X73*X56)/(X51+X52+X53+X54+X55+X56))*(X87+X91+X92))</f>
        <v>10005.0012052936</v>
      </c>
      <c r="Y96" s="67" t="n">
        <f aca="false">IF(Y$5="A",Inputs_Actuals!Y190,IF((Y51+Y52+Y53+Y54+Y55+Y56)=0,0,(Y68*Y51+Y69*Y52+Y70*Y53+Y71*Y54+Y72*Y55+Y73*Y56)/(Y51+Y52+Y53+Y54+Y55+Y56))*(Y87+Y91+Y92))</f>
        <v>10005.0589741462</v>
      </c>
      <c r="Z96" s="67" t="n">
        <f aca="false">IF(Z$5="A",Inputs_Actuals!Z190,IF((Z51+Z52+Z53+Z54+Z55+Z56)=0,0,(Z68*Z51+Z69*Z52+Z70*Z53+Z71*Z54+Z72*Z55+Z73*Z56)/(Z51+Z52+Z53+Z54+Z55+Z56))*(Z87+Z91+Z92))</f>
        <v>10005.0871979065</v>
      </c>
      <c r="AA96" s="67" t="n">
        <f aca="false">IF(AA$5="A",Inputs_Actuals!AA190,IF((AA51+AA52+AA53+AA54+AA55+AA56)=0,0,(AA68*AA51+AA69*AA52+AA70*AA53+AA71*AA54+AA72*AA55+AA73*AA56)/(AA51+AA52+AA53+AA54+AA55+AA56))*(AA87+AA91+AA92))</f>
        <v>19855.9298033741</v>
      </c>
      <c r="AB96" s="67" t="n">
        <f aca="false">IF(AB$5="A",Inputs_Actuals!AB190,IF((AB51+AB52+AB53+AB54+AB55+AB56)=0,0,(AB68*AB51+AB69*AB52+AB70*AB53+AB71*AB54+AB72*AB55+AB73*AB56)/(AB51+AB52+AB53+AB54+AB55+AB56))*(AB87+AB91+AB92))</f>
        <v>10005.0858504107</v>
      </c>
    </row>
    <row r="97" customFormat="false" ht="15" hidden="false" customHeight="false" outlineLevel="0" collapsed="false">
      <c r="A97" s="27" t="s">
        <v>1177</v>
      </c>
      <c r="B97" s="63" t="s">
        <v>1178</v>
      </c>
      <c r="C97" s="66" t="n">
        <f aca="false">SUM(E97:P97)</f>
        <v>92225.1172735628</v>
      </c>
      <c r="D97" s="66" t="n">
        <f aca="false">SUM(Q97:AB97)</f>
        <v>108222.336463181</v>
      </c>
      <c r="E97" s="67" t="n">
        <f aca="false">IF(E$5="A",Inputs_Actuals!E191,E86*Assumptions!$C$41*(Assumptions!$C$42-Assumptions!$C$43*Assumptions!E$214))</f>
        <v>8249.2</v>
      </c>
      <c r="F97" s="67" t="n">
        <f aca="false">IF(F$5="A",Inputs_Actuals!F191,F86*Assumptions!$C$41*(Assumptions!$C$42-Assumptions!$C$43*Assumptions!F$214))</f>
        <v>8159</v>
      </c>
      <c r="G97" s="67" t="n">
        <f aca="false">IF(G$5="A",Inputs_Actuals!G191,G86*Assumptions!$C$41*(Assumptions!$C$42-Assumptions!$C$43*Assumptions!G$214))</f>
        <v>7960</v>
      </c>
      <c r="H97" s="67" t="n">
        <f aca="false">IF(H$5="A",Inputs_Actuals!H191,H86*Assumptions!$C$41*(Assumptions!$C$42-Assumptions!$C$43*Assumptions!H$214))</f>
        <v>7417.8</v>
      </c>
      <c r="I97" s="67" t="n">
        <f aca="false">IF(I$5="A",Inputs_Actuals!I191,I86*Assumptions!$C$41*(Assumptions!$C$42-Assumptions!$C$43*Assumptions!I$214))</f>
        <v>7478.4</v>
      </c>
      <c r="J97" s="67" t="n">
        <f aca="false">IF(J$5="A",Inputs_Actuals!J191,J86*Assumptions!$C$41*(Assumptions!$C$42-Assumptions!$C$43*Assumptions!J$214))</f>
        <v>7227.6</v>
      </c>
      <c r="K97" s="67" t="n">
        <f aca="false">IF(K$5="A",Inputs_Actuals!K191,K86*Assumptions!$C$41*(Assumptions!$C$42-Assumptions!$C$43*Assumptions!K$214))</f>
        <v>6988.8</v>
      </c>
      <c r="L97" s="67" t="n">
        <f aca="false">IF(L$5="A",Inputs_Actuals!L191,L86*Assumptions!$C$41*(Assumptions!$C$42-Assumptions!$C$43*Assumptions!L$214))</f>
        <v>6302.4</v>
      </c>
      <c r="M97" s="67" t="n">
        <f aca="false">IF(M$5="A",Inputs_Actuals!M191,M86*Assumptions!$C$41*(Assumptions!$C$42-Assumptions!$C$43*Assumptions!M$214))</f>
        <v>7416.058</v>
      </c>
      <c r="N97" s="67" t="n">
        <f aca="false">IF(N$5="A",Inputs_Actuals!N191,N86*Assumptions!$C$41*(Assumptions!$C$42-Assumptions!$C$43*Assumptions!N$214))</f>
        <v>8177.96635833333</v>
      </c>
      <c r="O97" s="67" t="n">
        <f aca="false">IF(O$5="A",Inputs_Actuals!O191,O86*Assumptions!$C$41*(Assumptions!$C$42-Assumptions!$C$43*Assumptions!O$214))</f>
        <v>8665.85764957222</v>
      </c>
      <c r="P97" s="67" t="n">
        <f aca="false">IF(P$5="A",Inputs_Actuals!P191,P86*Assumptions!$C$41*(Assumptions!$C$42-Assumptions!$C$43*Assumptions!P$214))</f>
        <v>8182.03526565724</v>
      </c>
      <c r="Q97" s="67" t="n">
        <f aca="false">IF(Q$5="A",Inputs_Actuals!Q191,Q86*Assumptions!$C$41*(Assumptions!$C$42-Assumptions!$C$43*Assumptions!Q$214))</f>
        <v>9053.12059811784</v>
      </c>
      <c r="R97" s="67" t="n">
        <f aca="false">IF(R$5="A",Inputs_Actuals!R191,R86*Assumptions!$C$41*(Assumptions!$C$42-Assumptions!$C$43*Assumptions!R$214))</f>
        <v>8949.66154844223</v>
      </c>
      <c r="S97" s="67" t="n">
        <f aca="false">IF(S$5="A",Inputs_Actuals!S191,S86*Assumptions!$C$41*(Assumptions!$C$42-Assumptions!$C$43*Assumptions!S$214))</f>
        <v>9144.12242943999</v>
      </c>
      <c r="T97" s="67" t="n">
        <f aca="false">IF(T$5="A",Inputs_Actuals!T191,T86*Assumptions!$C$41*(Assumptions!$C$42-Assumptions!$C$43*Assumptions!T$214))</f>
        <v>8927.84067011598</v>
      </c>
      <c r="U97" s="67" t="n">
        <f aca="false">IF(U$5="A",Inputs_Actuals!U191,U86*Assumptions!$C$41*(Assumptions!$C$42-Assumptions!$C$43*Assumptions!U$214))</f>
        <v>9233.12550282493</v>
      </c>
      <c r="V97" s="67" t="n">
        <f aca="false">IF(V$5="A",Inputs_Actuals!V191,V86*Assumptions!$C$41*(Assumptions!$C$42-Assumptions!$C$43*Assumptions!V$214))</f>
        <v>9111.53461550125</v>
      </c>
      <c r="W97" s="67" t="n">
        <f aca="false">IF(W$5="A",Inputs_Actuals!W191,W86*Assumptions!$C$41*(Assumptions!$C$42-Assumptions!$C$43*Assumptions!W$214))</f>
        <v>8582.56025388716</v>
      </c>
      <c r="X97" s="67" t="n">
        <f aca="false">IF(X$5="A",Inputs_Actuals!X191,X86*Assumptions!$C$41*(Assumptions!$C$42-Assumptions!$C$43*Assumptions!X$214))</f>
        <v>7737.78738482403</v>
      </c>
      <c r="Y97" s="67" t="n">
        <f aca="false">IF(Y$5="A",Inputs_Actuals!Y191,Y86*Assumptions!$C$41*(Assumptions!$C$42-Assumptions!$C$43*Assumptions!Y$214))</f>
        <v>9212.61458289776</v>
      </c>
      <c r="Z97" s="67" t="n">
        <f aca="false">IF(Z$5="A",Inputs_Actuals!Z191,Z86*Assumptions!$C$41*(Assumptions!$C$42-Assumptions!$C$43*Assumptions!Z$214))</f>
        <v>9528.66568486861</v>
      </c>
      <c r="AA97" s="67" t="n">
        <f aca="false">IF(AA$5="A",Inputs_Actuals!AA191,AA86*Assumptions!$C$41*(Assumptions!$C$42-Assumptions!$C$43*Assumptions!AA$214))</f>
        <v>9634.0067916444</v>
      </c>
      <c r="AB97" s="67" t="n">
        <f aca="false">IF(AB$5="A",Inputs_Actuals!AB191,AB86*Assumptions!$C$41*(Assumptions!$C$42-Assumptions!$C$43*Assumptions!AB$214))</f>
        <v>9107.29640061662</v>
      </c>
    </row>
    <row r="98" customFormat="false" ht="15" hidden="false" customHeight="false" outlineLevel="0" collapsed="false">
      <c r="A98" s="27" t="s">
        <v>1179</v>
      </c>
      <c r="B98" s="63" t="s">
        <v>1180</v>
      </c>
      <c r="C98" s="66" t="n">
        <f aca="false">SUM(E98:P98)</f>
        <v>23510.2327337549</v>
      </c>
      <c r="D98" s="66" t="n">
        <f aca="false">SUM(Q98:AB98)</f>
        <v>28189.9253428729</v>
      </c>
      <c r="E98" s="67" t="n">
        <f aca="false">IF(E$5="A",Inputs_Actuals!E192,E86*Assumptions!$C$45*Assumptions!E$208+Assumptions!$C$44*E87*14/12)</f>
        <v>2011.83</v>
      </c>
      <c r="F98" s="67" t="n">
        <f aca="false">IF(F$5="A",Inputs_Actuals!F192,F86*Assumptions!$C$45*Assumptions!F$208+Assumptions!$C$44*F87*14/12)</f>
        <v>2011.83</v>
      </c>
      <c r="G98" s="67" t="n">
        <f aca="false">IF(G$5="A",Inputs_Actuals!G192,G86*Assumptions!$C$45*Assumptions!G$208+Assumptions!$C$44*G87*14/12)</f>
        <v>1966.17</v>
      </c>
      <c r="H98" s="67" t="n">
        <f aca="false">IF(H$5="A",Inputs_Actuals!H192,H86*Assumptions!$C$45*Assumptions!H$208+Assumptions!$C$44*H87*14/12)</f>
        <v>1916.85</v>
      </c>
      <c r="I98" s="67" t="n">
        <f aca="false">IF(I$5="A",Inputs_Actuals!I192,I86*Assumptions!$C$45*Assumptions!I$208+Assumptions!$C$44*I87*14/12)</f>
        <v>1867.53</v>
      </c>
      <c r="J98" s="67" t="n">
        <f aca="false">IF(J$5="A",Inputs_Actuals!J192,J86*Assumptions!$C$45*Assumptions!J$208+Assumptions!$C$44*J87*14/12)</f>
        <v>1856.5</v>
      </c>
      <c r="K98" s="67" t="n">
        <f aca="false">IF(K$5="A",Inputs_Actuals!K192,K86*Assumptions!$C$45*Assumptions!K$208+Assumptions!$C$44*K87*14/12)</f>
        <v>1901.1</v>
      </c>
      <c r="L98" s="67" t="n">
        <f aca="false">IF(L$5="A",Inputs_Actuals!L192,L86*Assumptions!$C$45*Assumptions!L$208+Assumptions!$C$44*L87*14/12)</f>
        <v>1901.1</v>
      </c>
      <c r="M98" s="67" t="n">
        <f aca="false">IF(M$5="A",Inputs_Actuals!M192,M86*Assumptions!$C$45*Assumptions!M$208+Assumptions!$C$44*M87*14/12)</f>
        <v>1878.9205</v>
      </c>
      <c r="N98" s="67" t="n">
        <f aca="false">IF(N$5="A",Inputs_Actuals!N192,N86*Assumptions!$C$45*Assumptions!N$208+Assumptions!$C$44*N87*14/12)</f>
        <v>2000.24976083333</v>
      </c>
      <c r="O98" s="67" t="n">
        <f aca="false">IF(O$5="A",Inputs_Actuals!O192,O86*Assumptions!$C$45*Assumptions!O$208+Assumptions!$C$44*O87*14/12)</f>
        <v>2100.36801362361</v>
      </c>
      <c r="P98" s="67" t="n">
        <f aca="false">IF(P$5="A",Inputs_Actuals!P192,P86*Assumptions!$C$45*Assumptions!P$208+Assumptions!$C$44*P87*14/12)</f>
        <v>2097.784459298</v>
      </c>
      <c r="Q98" s="67" t="n">
        <f aca="false">IF(Q$5="A",Inputs_Actuals!Q192,Q86*Assumptions!$C$45*Assumptions!Q$208+Assumptions!$C$44*Q87*14/12)</f>
        <v>2250.17090044261</v>
      </c>
      <c r="R98" s="67" t="n">
        <f aca="false">IF(R$5="A",Inputs_Actuals!R192,R86*Assumptions!$C$45*Assumptions!R$208+Assumptions!$C$44*R87*14/12)</f>
        <v>2249.07792995676</v>
      </c>
      <c r="S98" s="67" t="n">
        <f aca="false">IF(S$5="A",Inputs_Actuals!S192,S86*Assumptions!$C$45*Assumptions!S$208+Assumptions!$C$44*S87*14/12)</f>
        <v>2293.74476364534</v>
      </c>
      <c r="T98" s="67" t="n">
        <f aca="false">IF(T$5="A",Inputs_Actuals!T192,T86*Assumptions!$C$45*Assumptions!T$208+Assumptions!$C$44*T87*14/12)</f>
        <v>2340.09590190798</v>
      </c>
      <c r="U98" s="67" t="n">
        <f aca="false">IF(U$5="A",Inputs_Actuals!U192,U86*Assumptions!$C$45*Assumptions!U$208+Assumptions!$C$44*U87*14/12)</f>
        <v>2339.03402556854</v>
      </c>
      <c r="V98" s="67" t="n">
        <f aca="false">IF(V$5="A",Inputs_Actuals!V192,V86*Assumptions!$C$45*Assumptions!V$208+Assumptions!$C$44*V87*14/12)</f>
        <v>2389.15040084611</v>
      </c>
      <c r="W98" s="67" t="n">
        <f aca="false">IF(W$5="A",Inputs_Actuals!W192,W86*Assumptions!$C$45*Assumptions!W$208+Assumptions!$C$44*W87*14/12)</f>
        <v>2388.5780983585</v>
      </c>
      <c r="X98" s="67" t="n">
        <f aca="false">IF(X$5="A",Inputs_Actuals!X192,X86*Assumptions!$C$45*Assumptions!X$208+Assumptions!$C$44*X87*14/12)</f>
        <v>2388.00008417595</v>
      </c>
      <c r="Y98" s="67" t="n">
        <f aca="false">IF(Y$5="A",Inputs_Actuals!Y192,Y86*Assumptions!$C$45*Assumptions!Y$208+Assumptions!$C$44*Y87*14/12)</f>
        <v>2388.0135045371</v>
      </c>
      <c r="Z98" s="67" t="n">
        <f aca="false">IF(Z$5="A",Inputs_Actuals!Z192,Z86*Assumptions!$C$45*Assumptions!Z$208+Assumptions!$C$44*Z87*14/12)</f>
        <v>2388.02009146501</v>
      </c>
      <c r="AA98" s="67" t="n">
        <f aca="false">IF(AA$5="A",Inputs_Actuals!AA192,AA86*Assumptions!$C$45*Assumptions!AA$208+Assumptions!$C$44*AA87*14/12)</f>
        <v>2388.01985804664</v>
      </c>
      <c r="AB98" s="67" t="n">
        <f aca="false">IF(AB$5="A",Inputs_Actuals!AB192,AB86*Assumptions!$C$45*Assumptions!AB$208+Assumptions!$C$44*AB87*14/12)</f>
        <v>2388.01978392236</v>
      </c>
    </row>
    <row r="99" customFormat="false" ht="15" hidden="false" customHeight="false" outlineLevel="0" collapsed="false">
      <c r="A99" s="27" t="s">
        <v>1181</v>
      </c>
      <c r="B99" s="63" t="s">
        <v>1182</v>
      </c>
      <c r="C99" s="66" t="n">
        <f aca="false">SUM(E99:P99)</f>
        <v>685946.128513027</v>
      </c>
      <c r="D99" s="66" t="n">
        <f aca="false">SUM(Q99:AB99)</f>
        <v>817899.054057379</v>
      </c>
      <c r="E99" s="67" t="n">
        <f aca="false">IF(E$5="A",Inputs_Actuals!E193,E93-E95-E96)</f>
        <v>50735.42</v>
      </c>
      <c r="F99" s="67" t="n">
        <f aca="false">IF(F$5="A",Inputs_Actuals!F193,F93-F95-F96)</f>
        <v>50735.42</v>
      </c>
      <c r="G99" s="67" t="n">
        <f aca="false">IF(G$5="A",Inputs_Actuals!G193,G93-G95-G96)</f>
        <v>49698.39</v>
      </c>
      <c r="H99" s="67" t="n">
        <f aca="false">IF(H$5="A",Inputs_Actuals!H193,H93-H95-H96)</f>
        <v>48434.21</v>
      </c>
      <c r="I99" s="67" t="n">
        <f aca="false">IF(I$5="A",Inputs_Actuals!I193,I93-I95-I96)</f>
        <v>47170.03</v>
      </c>
      <c r="J99" s="67" t="n">
        <f aca="false">IF(J$5="A",Inputs_Actuals!J193,J93-J95-J96)</f>
        <v>93069.04</v>
      </c>
      <c r="K99" s="67" t="n">
        <f aca="false">IF(K$5="A",Inputs_Actuals!K193,K93-K95-K96)</f>
        <v>47506.3</v>
      </c>
      <c r="L99" s="67" t="n">
        <f aca="false">IF(L$5="A",Inputs_Actuals!L193,L93-L95-L96)</f>
        <v>47506.3</v>
      </c>
      <c r="M99" s="67" t="n">
        <f aca="false">IF(M$5="A",Inputs_Actuals!M193,M93-M95-M96)</f>
        <v>46952.0598333333</v>
      </c>
      <c r="N99" s="67" t="n">
        <f aca="false">IF(N$5="A",Inputs_Actuals!N193,N93-N95-N96)</f>
        <v>49904.4258019444</v>
      </c>
      <c r="O99" s="67" t="n">
        <f aca="false">IF(O$5="A",Inputs_Actuals!O193,O93-O95-O96)</f>
        <v>101784.151492896</v>
      </c>
      <c r="P99" s="67" t="n">
        <f aca="false">IF(P$5="A",Inputs_Actuals!P193,P93-P95-P96)</f>
        <v>52450.3813848534</v>
      </c>
      <c r="Q99" s="67" t="n">
        <f aca="false">IF(Q$5="A",Inputs_Actuals!Q193,Q93-Q95-Q96)</f>
        <v>56059.5581299064</v>
      </c>
      <c r="R99" s="67" t="n">
        <f aca="false">IF(R$5="A",Inputs_Actuals!R193,R93-R95-R96)</f>
        <v>56033.1724095285</v>
      </c>
      <c r="S99" s="67" t="n">
        <f aca="false">IF(S$5="A",Inputs_Actuals!S193,S93-S95-S96)</f>
        <v>57001.8120770399</v>
      </c>
      <c r="T99" s="67" t="n">
        <f aca="false">IF(T$5="A",Inputs_Actuals!T193,T93-T95-T96)</f>
        <v>58053.1601143234</v>
      </c>
      <c r="U99" s="67" t="n">
        <f aca="false">IF(U$5="A",Inputs_Actuals!U193,U93-U95-U96)</f>
        <v>58029.5935911008</v>
      </c>
      <c r="V99" s="67" t="n">
        <f aca="false">IF(V$5="A",Inputs_Actuals!V193,V93-V95-V96)</f>
        <v>118627.81661354</v>
      </c>
      <c r="W99" s="67" t="n">
        <f aca="false">IF(W$5="A",Inputs_Actuals!W193,W93-W95-W96)</f>
        <v>59299.1995778582</v>
      </c>
      <c r="X99" s="67" t="n">
        <f aca="false">IF(X$5="A",Inputs_Actuals!X193,X93-X95-X96)</f>
        <v>59284.3875080127</v>
      </c>
      <c r="Y99" s="67" t="n">
        <f aca="false">IF(Y$5="A",Inputs_Actuals!Y193,Y93-Y95-Y96)</f>
        <v>59284.7319173315</v>
      </c>
      <c r="Z99" s="67" t="n">
        <f aca="false">IF(Z$5="A",Inputs_Actuals!Z193,Z93-Z95-Z96)</f>
        <v>59284.9007067043</v>
      </c>
      <c r="AA99" s="67" t="n">
        <f aca="false">IF(AA$5="A",Inputs_Actuals!AA193,AA93-AA95-AA96)</f>
        <v>117655.828750072</v>
      </c>
      <c r="AB99" s="67" t="n">
        <f aca="false">IF(AB$5="A",Inputs_Actuals!AB193,AB93-AB95-AB96)</f>
        <v>59284.8926619608</v>
      </c>
    </row>
    <row r="100" customFormat="false" ht="15" hidden="false" customHeight="false" outlineLevel="0" collapsed="false">
      <c r="A100" s="27" t="s">
        <v>1183</v>
      </c>
      <c r="B100" s="63" t="s">
        <v>1184</v>
      </c>
      <c r="C100" s="66" t="n">
        <f aca="false">P100</f>
        <v>0</v>
      </c>
      <c r="D100" s="66" t="n">
        <f aca="false">AB100</f>
        <v>0</v>
      </c>
      <c r="E100" s="67" t="n">
        <f aca="false">0+(E89-E92)*(1+Assumptions!$C$37)</f>
        <v>6873.28125</v>
      </c>
      <c r="F100" s="67" t="n">
        <f aca="false">E100+(F89-F92)*(1+Assumptions!$C$37)</f>
        <v>13746.5625</v>
      </c>
      <c r="G100" s="67" t="n">
        <f aca="false">F100+(G89-G92)*(1+Assumptions!$C$37)</f>
        <v>20485.78125</v>
      </c>
      <c r="H100" s="67" t="n">
        <f aca="false">G100+(H89-H92)*(1+Assumptions!$C$37)</f>
        <v>27054.84375</v>
      </c>
      <c r="I100" s="67" t="n">
        <f aca="false">H100+(I89-I92)*(1+Assumptions!$C$37)</f>
        <v>33453.75</v>
      </c>
      <c r="J100" s="67" t="n">
        <f aca="false">I100+(J89-J92)*(1+Assumptions!$C$37)</f>
        <v>39744.375</v>
      </c>
      <c r="K100" s="67" t="n">
        <f aca="false">J100+(K89-K92)*(1+Assumptions!$C$37)</f>
        <v>46158.75</v>
      </c>
      <c r="L100" s="67" t="n">
        <f aca="false">K100+(L89-L92)*(1+Assumptions!$C$37)</f>
        <v>52573.125</v>
      </c>
      <c r="M100" s="67" t="n">
        <f aca="false">L100+(M89-M92)*(1+Assumptions!$C$37)</f>
        <v>58912.665625</v>
      </c>
      <c r="N100" s="67" t="n">
        <f aca="false">M100+(N89-N92)*(1+Assumptions!$C$37)</f>
        <v>65642.3074427083</v>
      </c>
      <c r="O100" s="67" t="n">
        <f aca="false">N100+(O89-O92)*(1+Assumptions!$C$37)</f>
        <v>-7092.05745483507</v>
      </c>
      <c r="P100" s="67" t="n">
        <f aca="false">O100+(P89-P92)*(1+Assumptions!$C$37)</f>
        <v>0</v>
      </c>
      <c r="Q100" s="67" t="n">
        <f aca="false">P100+(Q89-Q92)*(1+Assumptions!$C$37)</f>
        <v>7604.87221784769</v>
      </c>
      <c r="R100" s="67" t="n">
        <f aca="false">Q100+(R89-R92)*(1+Assumptions!$C$37)</f>
        <v>15206.2438169028</v>
      </c>
      <c r="S100" s="67" t="n">
        <f aca="false">R100+(S89-S92)*(1+Assumptions!$C$37)</f>
        <v>22931.5126390389</v>
      </c>
      <c r="T100" s="67" t="n">
        <f aca="false">S100+(T89-T92)*(1+Assumptions!$C$37)</f>
        <v>30793.461209125</v>
      </c>
      <c r="U100" s="67" t="n">
        <f aca="false">T100+(U89-U92)*(1+Assumptions!$C$37)</f>
        <v>38652.3697145491</v>
      </c>
      <c r="V100" s="67" t="n">
        <f aca="false">U100+(V89-V92)*(1+Assumptions!$C$37)</f>
        <v>46684.9800278348</v>
      </c>
      <c r="W100" s="67" t="n">
        <f aca="false">V100+(W89-W92)*(1+Assumptions!$C$37)</f>
        <v>54715.5992874498</v>
      </c>
      <c r="X100" s="67" t="n">
        <f aca="false">W100+(X89-X92)*(1+Assumptions!$C$37)</f>
        <v>62744.2152549327</v>
      </c>
      <c r="Y100" s="67" t="n">
        <f aca="false">X100+(Y89-Y92)*(1+Assumptions!$C$37)</f>
        <v>70772.8778231165</v>
      </c>
      <c r="Z100" s="67" t="n">
        <f aca="false">Y100+(Z89-Z92)*(1+Assumptions!$C$37)</f>
        <v>78801.5632193671</v>
      </c>
      <c r="AA100" s="67" t="n">
        <f aca="false">Z100+(AA89-AA92)*(1+Assumptions!$C$37)</f>
        <v>-8028.68458624826</v>
      </c>
      <c r="AB100" s="67" t="n">
        <f aca="false">AA100+(AB89-AB92)*(1+Assumptions!$C$37)</f>
        <v>0</v>
      </c>
    </row>
    <row r="101" customFormat="false" ht="15" hidden="false" customHeight="false" outlineLevel="0" collapsed="false">
      <c r="A101" s="27" t="s">
        <v>1185</v>
      </c>
      <c r="B101" s="63" t="s">
        <v>1186</v>
      </c>
      <c r="C101" s="66" t="n">
        <f aca="false">SUM(E101:P101)</f>
        <v>4965.62063272077</v>
      </c>
      <c r="D101" s="66" t="n">
        <f aca="false">SUM(Q101:AB101)</f>
        <v>0</v>
      </c>
      <c r="E101" s="76" t="n">
        <f aca="false">IF(E156=0,0,E159*E87/E156)</f>
        <v>0</v>
      </c>
      <c r="F101" s="76" t="n">
        <f aca="false">IF(F156=0,0,F159*F87/F156)</f>
        <v>0</v>
      </c>
      <c r="G101" s="76" t="n">
        <f aca="false">IF(G156=0,0,G159*G87/G156)</f>
        <v>0</v>
      </c>
      <c r="H101" s="76" t="n">
        <f aca="false">IF(H156=0,0,H159*H87/H156)</f>
        <v>0</v>
      </c>
      <c r="I101" s="76" t="n">
        <f aca="false">IF(I156=0,0,I159*I87/I156)</f>
        <v>0</v>
      </c>
      <c r="J101" s="76" t="n">
        <f aca="false">IF(J156=0,0,J159*J87/J156)</f>
        <v>0</v>
      </c>
      <c r="K101" s="76" t="n">
        <f aca="false">IF(K156=0,0,K159*K87/K156)</f>
        <v>0</v>
      </c>
      <c r="L101" s="76" t="n">
        <f aca="false">IF(L156=0,0,L159*L87/L156)</f>
        <v>0</v>
      </c>
      <c r="M101" s="76" t="n">
        <f aca="false">IF(M156=0,0,M159*M87/M156)</f>
        <v>0</v>
      </c>
      <c r="N101" s="76" t="n">
        <f aca="false">IF(N156=0,0,N159*N87/N156)</f>
        <v>0</v>
      </c>
      <c r="O101" s="76" t="n">
        <f aca="false">IF(O156=0,0,O159*O87/O156)</f>
        <v>0</v>
      </c>
      <c r="P101" s="76" t="n">
        <f aca="false">IF(P156=0,0,P159*P87/P156)</f>
        <v>4965.62063272077</v>
      </c>
      <c r="Q101" s="76" t="n">
        <f aca="false">IF(Q156=0,0,Q159*Q87/Q156)</f>
        <v>0</v>
      </c>
      <c r="R101" s="76" t="n">
        <f aca="false">IF(R156=0,0,R159*R87/R156)</f>
        <v>0</v>
      </c>
      <c r="S101" s="76" t="n">
        <f aca="false">IF(S156=0,0,S159*S87/S156)</f>
        <v>0</v>
      </c>
      <c r="T101" s="76" t="n">
        <f aca="false">IF(T156=0,0,T159*T87/T156)</f>
        <v>0</v>
      </c>
      <c r="U101" s="76" t="n">
        <f aca="false">IF(U156=0,0,U159*U87/U156)</f>
        <v>0</v>
      </c>
      <c r="V101" s="76" t="n">
        <f aca="false">IF(V156=0,0,V159*V87/V156)</f>
        <v>0</v>
      </c>
      <c r="W101" s="76" t="n">
        <f aca="false">IF(W156=0,0,W159*W87/W156)</f>
        <v>0</v>
      </c>
      <c r="X101" s="76" t="n">
        <f aca="false">IF(X156=0,0,X159*X87/X156)</f>
        <v>0</v>
      </c>
      <c r="Y101" s="76" t="n">
        <f aca="false">IF(Y156=0,0,Y159*Y87/Y156)</f>
        <v>0</v>
      </c>
      <c r="Z101" s="76" t="n">
        <f aca="false">IF(Z156=0,0,Z159*Z87/Z156)</f>
        <v>0</v>
      </c>
      <c r="AA101" s="76" t="n">
        <f aca="false">IF(AA156=0,0,AA159*AA87/AA156)</f>
        <v>0</v>
      </c>
      <c r="AB101" s="76" t="n">
        <f aca="false">IF(AB156=0,0,AB159*AB87/AB156)</f>
        <v>0</v>
      </c>
    </row>
    <row r="102" customFormat="false" ht="15" hidden="false" customHeight="false" outlineLevel="0" collapsed="false">
      <c r="A102" s="59" t="s">
        <v>1187</v>
      </c>
      <c r="B102" s="60" t="s">
        <v>1188</v>
      </c>
      <c r="C102" s="61" t="n">
        <f aca="false">SUM(E102:P102)</f>
        <v>1239115.29347238</v>
      </c>
      <c r="D102" s="61" t="n">
        <f aca="false">SUM(Q102:AB102)</f>
        <v>1463888.92170498</v>
      </c>
      <c r="E102" s="62" t="n">
        <f aca="false">(E87-E88+E89+E90)*(1+Assumptions!$C$37)+E97+E98+E101</f>
        <v>110061.07375</v>
      </c>
      <c r="F102" s="62" t="n">
        <f aca="false">(F87-F88+F89+F90)*(1+Assumptions!$C$37)+F97+F98+F101</f>
        <v>109146.08</v>
      </c>
      <c r="G102" s="62" t="n">
        <f aca="false">(G87-G88+G89+G90)*(1+Assumptions!$C$37)+G97+G98+G101</f>
        <v>106970.92</v>
      </c>
      <c r="H102" s="62" t="n">
        <f aca="false">(H87-H88+H89+H90)*(1+Assumptions!$C$37)+H97+H98+H101</f>
        <v>100776</v>
      </c>
      <c r="I102" s="62" t="n">
        <f aca="false">(I87-I88+I89+I90)*(1+Assumptions!$C$37)+I97+I98+I101</f>
        <v>100722.31125</v>
      </c>
      <c r="J102" s="62" t="n">
        <f aca="false">(J87-J88+J89+J90)*(1+Assumptions!$C$37)+J97+J98+J101</f>
        <v>96649.6</v>
      </c>
      <c r="K102" s="62" t="n">
        <f aca="false">(K87-K88+K89+K90)*(1+Assumptions!$C$37)+K97+K98+K101</f>
        <v>94329.375</v>
      </c>
      <c r="L102" s="62" t="n">
        <f aca="false">(L87-L88+L89+L90)*(1+Assumptions!$C$37)+L97+L98+L101</f>
        <v>87485.175</v>
      </c>
      <c r="M102" s="62" t="n">
        <f aca="false">(M87-M88+M89+M90)*(1+Assumptions!$C$37)+M97+M98+M101</f>
        <v>98302.128875</v>
      </c>
      <c r="N102" s="62" t="n">
        <f aca="false">(N87-N88+N89+N90)*(1+Assumptions!$C$37)+N97+N98+N101</f>
        <v>107085.058294167</v>
      </c>
      <c r="O102" s="62" t="n">
        <f aca="false">(O87-O88+O89+O90)*(1+Assumptions!$C$37)+O97+O98+O101</f>
        <v>113742.899907401</v>
      </c>
      <c r="P102" s="62" t="n">
        <f aca="false">(P87-P88+P89+P90)*(1+Assumptions!$C$37)+P97+P98+P101</f>
        <v>113844.671395815</v>
      </c>
      <c r="Q102" s="62" t="n">
        <f aca="false">(Q87-Q88+Q89+Q90)*(1+Assumptions!$C$37)+Q97+Q98+Q101</f>
        <v>121726.036101709</v>
      </c>
      <c r="R102" s="62" t="n">
        <f aca="false">(R87-R88+R89+R90)*(1+Assumptions!$C$37)+R97+R98+R101</f>
        <v>120658.490504792</v>
      </c>
      <c r="S102" s="62" t="n">
        <f aca="false">(S87-S88+S89+S90)*(1+Assumptions!$C$37)+S97+S98+S101</f>
        <v>122681.738231846</v>
      </c>
      <c r="T102" s="62" t="n">
        <f aca="false">(T87-T88+T89+T90)*(1+Assumptions!$C$37)+T97+T98+T101</f>
        <v>120706.260667623</v>
      </c>
      <c r="U102" s="62" t="n">
        <f aca="false">(U87-U88+U89+U90)*(1+Assumptions!$C$37)+U97+U98+U101</f>
        <v>123797.372985849</v>
      </c>
      <c r="V102" s="62" t="n">
        <f aca="false">(V87-V88+V89+V90)*(1+Assumptions!$C$37)+V97+V98+V101</f>
        <v>123314.620577285</v>
      </c>
      <c r="W102" s="62" t="n">
        <f aca="false">(W87-W88+W89+W90)*(1+Assumptions!$C$37)+W97+W98+W101</f>
        <v>117938.986890318</v>
      </c>
      <c r="X102" s="62" t="n">
        <f aca="false">(X87-X88+X89+X90)*(1+Assumptions!$C$37)+X97+X98+X101</f>
        <v>109359.480827088</v>
      </c>
      <c r="Y102" s="62" t="n">
        <f aca="false">(Y87-Y88+Y89+Y90)*(1+Assumptions!$C$37)+Y97+Y98+Y101</f>
        <v>124323.050544736</v>
      </c>
      <c r="Z102" s="62" t="n">
        <f aca="false">(Z87-Z88+Z89+Z90)*(1+Assumptions!$C$37)+Z97+Z98+Z101</f>
        <v>127529.755482342</v>
      </c>
      <c r="AA102" s="62" t="n">
        <f aca="false">(AA87-AA88+AA89+AA90)*(1+Assumptions!$C$37)+AA97+AA98+AA101</f>
        <v>128598.526842016</v>
      </c>
      <c r="AB102" s="62" t="n">
        <f aca="false">(AB87-AB88+AB89+AB90)*(1+Assumptions!$C$37)+AB97+AB98+AB101</f>
        <v>123254.602049381</v>
      </c>
    </row>
    <row r="103" customFormat="false" ht="15" hidden="false" customHeight="false" outlineLevel="0" collapsed="false">
      <c r="A103" s="27" t="s">
        <v>1189</v>
      </c>
      <c r="B103" s="63"/>
      <c r="C103" s="74" t="n">
        <f aca="false">P103</f>
        <v>12.7869144145448</v>
      </c>
      <c r="D103" s="74" t="n">
        <f aca="false">AB103</f>
        <v>13.7704918032784</v>
      </c>
      <c r="E103" s="86" t="n">
        <f aca="false">E15+E16</f>
        <v>12</v>
      </c>
      <c r="F103" s="86" t="n">
        <f aca="false">F15+F16</f>
        <v>13</v>
      </c>
      <c r="G103" s="86" t="n">
        <f aca="false">G15+G16</f>
        <v>13</v>
      </c>
      <c r="H103" s="86" t="n">
        <f aca="false">H15+H16</f>
        <v>13</v>
      </c>
      <c r="I103" s="86" t="n">
        <f aca="false">I15+I16</f>
        <v>13</v>
      </c>
      <c r="J103" s="86" t="n">
        <f aca="false">J15+J16</f>
        <v>13</v>
      </c>
      <c r="K103" s="86" t="n">
        <f aca="false">K15+K16</f>
        <v>13</v>
      </c>
      <c r="L103" s="86" t="n">
        <f aca="false">L15+L16</f>
        <v>13</v>
      </c>
      <c r="M103" s="86" t="n">
        <f aca="false">M15+M16</f>
        <v>12.8916666666667</v>
      </c>
      <c r="N103" s="86" t="n">
        <f aca="false">N15+N16</f>
        <v>12.7842361111111</v>
      </c>
      <c r="O103" s="86" t="n">
        <f aca="false">O15+O16</f>
        <v>12.7860341435185</v>
      </c>
      <c r="P103" s="86" t="n">
        <f aca="false">P15+P16</f>
        <v>12.7869144145448</v>
      </c>
      <c r="Q103" s="86" t="n">
        <f aca="false">Q15+Q16</f>
        <v>13.7868920953495</v>
      </c>
      <c r="R103" s="86" t="n">
        <f aca="false">R15+R16</f>
        <v>13.7785516124175</v>
      </c>
      <c r="S103" s="86" t="n">
        <f aca="false">S15+S16</f>
        <v>13.7702879691019</v>
      </c>
      <c r="T103" s="86" t="n">
        <f aca="false">T15+T16</f>
        <v>13.7704263368207</v>
      </c>
      <c r="U103" s="86" t="n">
        <f aca="false">U15+U16</f>
        <v>13.7704940474506</v>
      </c>
      <c r="V103" s="86" t="n">
        <f aca="false">V15+V16</f>
        <v>13.7704923301311</v>
      </c>
      <c r="W103" s="86" t="n">
        <f aca="false">W15+W16</f>
        <v>13.7704917801868</v>
      </c>
      <c r="X103" s="86" t="n">
        <f aca="false">X15+X16</f>
        <v>13.7704917990807</v>
      </c>
      <c r="Y103" s="86" t="n">
        <f aca="false">Y15+Y16</f>
        <v>13.7704918035061</v>
      </c>
      <c r="Z103" s="86" t="n">
        <f aca="false">Z15+Z16</f>
        <v>13.7704918033118</v>
      </c>
      <c r="AA103" s="86" t="n">
        <f aca="false">AA15+AA16</f>
        <v>13.7704918032765</v>
      </c>
      <c r="AB103" s="86" t="n">
        <f aca="false">AB15+AB16</f>
        <v>13.7704918032784</v>
      </c>
    </row>
    <row r="104" customFormat="false" ht="15" hidden="false" customHeight="false" outlineLevel="0" collapsed="false">
      <c r="A104" s="27" t="s">
        <v>1190</v>
      </c>
      <c r="B104" s="63" t="s">
        <v>1159</v>
      </c>
      <c r="C104" s="66" t="n">
        <f aca="false">SUM(E104:P104)</f>
        <v>348354.137438995</v>
      </c>
      <c r="D104" s="66" t="n">
        <f aca="false">SUM(Q104:AB104)</f>
        <v>383010.954374411</v>
      </c>
      <c r="E104" s="67" t="n">
        <f aca="false">IF(E$5="A",Inputs_Actuals!E194,E57+E58)</f>
        <v>27200</v>
      </c>
      <c r="F104" s="67" t="n">
        <f aca="false">IF(F$5="A",Inputs_Actuals!F194,F57+F58)</f>
        <v>29350</v>
      </c>
      <c r="G104" s="67" t="n">
        <f aca="false">IF(G$5="A",Inputs_Actuals!G194,G57+G58)</f>
        <v>29350</v>
      </c>
      <c r="H104" s="67" t="n">
        <f aca="false">IF(H$5="A",Inputs_Actuals!H194,H57+H58)</f>
        <v>29350</v>
      </c>
      <c r="I104" s="67" t="n">
        <f aca="false">IF(I$5="A",Inputs_Actuals!I194,I57+I58)</f>
        <v>29350</v>
      </c>
      <c r="J104" s="67" t="n">
        <f aca="false">IF(J$5="A",Inputs_Actuals!J194,J57+J58)</f>
        <v>29350</v>
      </c>
      <c r="K104" s="67" t="n">
        <f aca="false">IF(K$5="A",Inputs_Actuals!K194,K57+K58)</f>
        <v>29350</v>
      </c>
      <c r="L104" s="67" t="n">
        <f aca="false">IF(L$5="A",Inputs_Actuals!L194,L57+L58)</f>
        <v>29350</v>
      </c>
      <c r="M104" s="67" t="n">
        <f aca="false">IF(M$5="A",Inputs_Actuals!M194,M57+M58)</f>
        <v>29105.4166666667</v>
      </c>
      <c r="N104" s="67" t="n">
        <f aca="false">IF(N$5="A",Inputs_Actuals!N194,N57+N58)</f>
        <v>28862.8715277778</v>
      </c>
      <c r="O104" s="67" t="n">
        <f aca="false">IF(O$5="A",Inputs_Actuals!O194,O57+O58)</f>
        <v>28866.930931713</v>
      </c>
      <c r="P104" s="67" t="n">
        <f aca="false">IF(P$5="A",Inputs_Actuals!P194,P57+P58)</f>
        <v>28868.9183128376</v>
      </c>
      <c r="Q104" s="67" t="n">
        <f aca="false">IF(Q$5="A",Inputs_Actuals!Q194,Q57+Q58)</f>
        <v>31949.4339606509</v>
      </c>
      <c r="R104" s="67" t="n">
        <f aca="false">IF(R$5="A",Inputs_Actuals!R194,R57+R58)</f>
        <v>31930.9631681427</v>
      </c>
      <c r="S104" s="67" t="n">
        <f aca="false">IF(S$5="A",Inputs_Actuals!S194,S57+S58)</f>
        <v>31912.6633572601</v>
      </c>
      <c r="T104" s="67" t="n">
        <f aca="false">IF(T$5="A",Inputs_Actuals!T194,T57+T58)</f>
        <v>31912.969778955</v>
      </c>
      <c r="U104" s="67" t="n">
        <f aca="false">IF(U$5="A",Inputs_Actuals!U194,U57+U58)</f>
        <v>31913.1197238649</v>
      </c>
      <c r="V104" s="67" t="n">
        <f aca="false">IF(V$5="A",Inputs_Actuals!V194,V57+V58)</f>
        <v>31913.1159208098</v>
      </c>
      <c r="W104" s="67" t="n">
        <f aca="false">IF(W$5="A",Inputs_Actuals!W194,W57+W58)</f>
        <v>31913.114702961</v>
      </c>
      <c r="X104" s="67" t="n">
        <f aca="false">IF(X$5="A",Inputs_Actuals!X194,X57+X58)</f>
        <v>31913.1147448019</v>
      </c>
      <c r="Y104" s="67" t="n">
        <f aca="false">IF(Y$5="A",Inputs_Actuals!Y194,Y57+Y58)</f>
        <v>31913.114754602</v>
      </c>
      <c r="Z104" s="67" t="n">
        <f aca="false">IF(Z$5="A",Inputs_Actuals!Z194,Z57+Z58)</f>
        <v>31913.1147541716</v>
      </c>
      <c r="AA104" s="67" t="n">
        <f aca="false">IF(AA$5="A",Inputs_Actuals!AA194,AA57+AA58)</f>
        <v>31913.1147540936</v>
      </c>
      <c r="AB104" s="67" t="n">
        <f aca="false">IF(AB$5="A",Inputs_Actuals!AB194,AB57+AB58)</f>
        <v>31913.1147540978</v>
      </c>
    </row>
    <row r="105" customFormat="false" ht="15" hidden="false" customHeight="false" outlineLevel="0" collapsed="false">
      <c r="A105" s="27" t="s">
        <v>1191</v>
      </c>
      <c r="B105" s="63" t="s">
        <v>1161</v>
      </c>
      <c r="C105" s="66" t="n">
        <f aca="false">SUM(E105:P105)</f>
        <v>29157.4567951461</v>
      </c>
      <c r="D105" s="66" t="n">
        <f aca="false">SUM(Q105:AB105)</f>
        <v>31915.4247194872</v>
      </c>
      <c r="E105" s="67" t="n">
        <f aca="false">E104*Assumptions!E$214</f>
        <v>1088</v>
      </c>
      <c r="F105" s="67" t="n">
        <f aca="false">F104*Assumptions!F$214</f>
        <v>1467.5</v>
      </c>
      <c r="G105" s="67" t="n">
        <f aca="false">G104*Assumptions!G$214</f>
        <v>1467.5</v>
      </c>
      <c r="H105" s="67" t="n">
        <f aca="false">H104*Assumptions!H$214</f>
        <v>2641.5</v>
      </c>
      <c r="I105" s="67" t="n">
        <f aca="false">I104*Assumptions!I$214</f>
        <v>1761</v>
      </c>
      <c r="J105" s="67" t="n">
        <f aca="false">J104*Assumptions!J$214</f>
        <v>2641.5</v>
      </c>
      <c r="K105" s="67" t="n">
        <f aca="false">K104*Assumptions!K$214</f>
        <v>4109</v>
      </c>
      <c r="L105" s="67" t="n">
        <f aca="false">L104*Assumptions!L$214</f>
        <v>6457</v>
      </c>
      <c r="M105" s="67" t="n">
        <f aca="false">M104*Assumptions!M$214</f>
        <v>2328.43333333333</v>
      </c>
      <c r="N105" s="67" t="n">
        <f aca="false">N104*Assumptions!N$214</f>
        <v>1443.14357638889</v>
      </c>
      <c r="O105" s="67" t="n">
        <f aca="false">O104*Assumptions!O$214</f>
        <v>1154.67723726852</v>
      </c>
      <c r="P105" s="67" t="n">
        <f aca="false">P104*Assumptions!P$214</f>
        <v>2598.20264815538</v>
      </c>
      <c r="Q105" s="67" t="n">
        <f aca="false">Q104*Assumptions!Q$214</f>
        <v>1277.97735842604</v>
      </c>
      <c r="R105" s="67" t="n">
        <f aca="false">R104*Assumptions!R$214</f>
        <v>1596.54815840714</v>
      </c>
      <c r="S105" s="67" t="n">
        <f aca="false">S104*Assumptions!S$214</f>
        <v>1595.633167863</v>
      </c>
      <c r="T105" s="67" t="n">
        <f aca="false">T104*Assumptions!T$214</f>
        <v>2872.16728010595</v>
      </c>
      <c r="U105" s="67" t="n">
        <f aca="false">U104*Assumptions!U$214</f>
        <v>1914.78718343189</v>
      </c>
      <c r="V105" s="67" t="n">
        <f aca="false">V104*Assumptions!V$214</f>
        <v>2872.18043287289</v>
      </c>
      <c r="W105" s="67" t="n">
        <f aca="false">W104*Assumptions!W$214</f>
        <v>4467.83605841455</v>
      </c>
      <c r="X105" s="67" t="n">
        <f aca="false">X104*Assumptions!X$214</f>
        <v>7020.88524385642</v>
      </c>
      <c r="Y105" s="67" t="n">
        <f aca="false">Y104*Assumptions!Y$214</f>
        <v>2553.04918036816</v>
      </c>
      <c r="Z105" s="67" t="n">
        <f aca="false">Z104*Assumptions!Z$214</f>
        <v>1595.65573770858</v>
      </c>
      <c r="AA105" s="67" t="n">
        <f aca="false">AA104*Assumptions!AA$214</f>
        <v>1276.52459016374</v>
      </c>
      <c r="AB105" s="67" t="n">
        <f aca="false">AB104*Assumptions!AB$214</f>
        <v>2872.1803278688</v>
      </c>
    </row>
    <row r="106" customFormat="false" ht="15" hidden="false" customHeight="false" outlineLevel="0" collapsed="false">
      <c r="A106" s="27" t="s">
        <v>1192</v>
      </c>
      <c r="B106" s="63" t="s">
        <v>1163</v>
      </c>
      <c r="C106" s="66" t="n">
        <f aca="false">SUM(E106:P106)</f>
        <v>29029.5114532496</v>
      </c>
      <c r="D106" s="66" t="n">
        <f aca="false">SUM(Q106:AB106)</f>
        <v>31917.5795312009</v>
      </c>
      <c r="E106" s="76" t="n">
        <f aca="false">E104/12</f>
        <v>2266.66666666667</v>
      </c>
      <c r="F106" s="76" t="n">
        <f aca="false">F104/12</f>
        <v>2445.83333333333</v>
      </c>
      <c r="G106" s="76" t="n">
        <f aca="false">G104/12</f>
        <v>2445.83333333333</v>
      </c>
      <c r="H106" s="76" t="n">
        <f aca="false">H104/12</f>
        <v>2445.83333333333</v>
      </c>
      <c r="I106" s="76" t="n">
        <f aca="false">I104/12</f>
        <v>2445.83333333333</v>
      </c>
      <c r="J106" s="76" t="n">
        <f aca="false">J104/12</f>
        <v>2445.83333333333</v>
      </c>
      <c r="K106" s="76" t="n">
        <f aca="false">K104/12</f>
        <v>2445.83333333333</v>
      </c>
      <c r="L106" s="76" t="n">
        <f aca="false">L104/12</f>
        <v>2445.83333333333</v>
      </c>
      <c r="M106" s="76" t="n">
        <f aca="false">M104/12</f>
        <v>2425.45138888889</v>
      </c>
      <c r="N106" s="76" t="n">
        <f aca="false">N104/12</f>
        <v>2405.23929398148</v>
      </c>
      <c r="O106" s="76" t="n">
        <f aca="false">O104/12</f>
        <v>2405.57757764275</v>
      </c>
      <c r="P106" s="76" t="n">
        <f aca="false">P104/12</f>
        <v>2405.74319273646</v>
      </c>
      <c r="Q106" s="76" t="n">
        <f aca="false">Q104/12</f>
        <v>2662.45283005424</v>
      </c>
      <c r="R106" s="76" t="n">
        <f aca="false">R104/12</f>
        <v>2660.91359734523</v>
      </c>
      <c r="S106" s="76" t="n">
        <f aca="false">S104/12</f>
        <v>2659.388613105</v>
      </c>
      <c r="T106" s="76" t="n">
        <f aca="false">T104/12</f>
        <v>2659.41414824625</v>
      </c>
      <c r="U106" s="76" t="n">
        <f aca="false">U104/12</f>
        <v>2659.42664365541</v>
      </c>
      <c r="V106" s="76" t="n">
        <f aca="false">V104/12</f>
        <v>2659.42632673415</v>
      </c>
      <c r="W106" s="76" t="n">
        <f aca="false">W104/12</f>
        <v>2659.42622524675</v>
      </c>
      <c r="X106" s="76" t="n">
        <f aca="false">X104/12</f>
        <v>2659.42622873349</v>
      </c>
      <c r="Y106" s="76" t="n">
        <f aca="false">Y104/12</f>
        <v>2659.42622955016</v>
      </c>
      <c r="Z106" s="76" t="n">
        <f aca="false">Z104/12</f>
        <v>2659.4262295143</v>
      </c>
      <c r="AA106" s="76" t="n">
        <f aca="false">AA104/12</f>
        <v>2659.4262295078</v>
      </c>
      <c r="AB106" s="76" t="n">
        <f aca="false">AB104/12</f>
        <v>2659.42622950815</v>
      </c>
    </row>
    <row r="107" customFormat="false" ht="15" hidden="false" customHeight="false" outlineLevel="0" collapsed="false">
      <c r="A107" s="27" t="s">
        <v>1193</v>
      </c>
      <c r="B107" s="63" t="s">
        <v>1165</v>
      </c>
      <c r="C107" s="66" t="n">
        <f aca="false">SUM(E107:P107)</f>
        <v>58059.0229064992</v>
      </c>
      <c r="D107" s="66" t="n">
        <f aca="false">SUM(Q107:AB107)</f>
        <v>63835.1590624019</v>
      </c>
      <c r="E107" s="76" t="n">
        <f aca="false">E104*2/12</f>
        <v>4533.33333333333</v>
      </c>
      <c r="F107" s="76" t="n">
        <f aca="false">F104*2/12</f>
        <v>4891.66666666667</v>
      </c>
      <c r="G107" s="76" t="n">
        <f aca="false">G104*2/12</f>
        <v>4891.66666666667</v>
      </c>
      <c r="H107" s="76" t="n">
        <f aca="false">H104*2/12</f>
        <v>4891.66666666667</v>
      </c>
      <c r="I107" s="76" t="n">
        <f aca="false">I104*2/12</f>
        <v>4891.66666666667</v>
      </c>
      <c r="J107" s="76" t="n">
        <f aca="false">J104*2/12</f>
        <v>4891.66666666667</v>
      </c>
      <c r="K107" s="76" t="n">
        <f aca="false">K104*2/12</f>
        <v>4891.66666666667</v>
      </c>
      <c r="L107" s="76" t="n">
        <f aca="false">L104*2/12</f>
        <v>4891.66666666667</v>
      </c>
      <c r="M107" s="76" t="n">
        <f aca="false">M104*2/12</f>
        <v>4850.90277777778</v>
      </c>
      <c r="N107" s="76" t="n">
        <f aca="false">N104*2/12</f>
        <v>4810.47858796296</v>
      </c>
      <c r="O107" s="76" t="n">
        <f aca="false">O104*2/12</f>
        <v>4811.15515528549</v>
      </c>
      <c r="P107" s="76" t="n">
        <f aca="false">P104*2/12</f>
        <v>4811.48638547293</v>
      </c>
      <c r="Q107" s="76" t="n">
        <f aca="false">Q104*2/12</f>
        <v>5324.90566010849</v>
      </c>
      <c r="R107" s="76" t="n">
        <f aca="false">R104*2/12</f>
        <v>5321.82719469045</v>
      </c>
      <c r="S107" s="76" t="n">
        <f aca="false">S104*2/12</f>
        <v>5318.77722621001</v>
      </c>
      <c r="T107" s="76" t="n">
        <f aca="false">T104*2/12</f>
        <v>5318.8282964925</v>
      </c>
      <c r="U107" s="76" t="n">
        <f aca="false">U104*2/12</f>
        <v>5318.85328731081</v>
      </c>
      <c r="V107" s="76" t="n">
        <f aca="false">V104*2/12</f>
        <v>5318.85265346831</v>
      </c>
      <c r="W107" s="76" t="n">
        <f aca="false">W104*2/12</f>
        <v>5318.85245049351</v>
      </c>
      <c r="X107" s="76" t="n">
        <f aca="false">X104*2/12</f>
        <v>5318.85245746699</v>
      </c>
      <c r="Y107" s="76" t="n">
        <f aca="false">Y104*2/12</f>
        <v>5318.85245910033</v>
      </c>
      <c r="Z107" s="76" t="n">
        <f aca="false">Z104*2/12</f>
        <v>5318.85245902861</v>
      </c>
      <c r="AA107" s="76" t="n">
        <f aca="false">AA104*2/12</f>
        <v>5318.85245901559</v>
      </c>
      <c r="AB107" s="76" t="n">
        <f aca="false">AB104*2/12</f>
        <v>5318.8524590163</v>
      </c>
    </row>
    <row r="108" customFormat="false" ht="15" hidden="false" customHeight="false" outlineLevel="0" collapsed="false">
      <c r="A108" s="27" t="s">
        <v>1194</v>
      </c>
      <c r="B108" s="63" t="s">
        <v>1167</v>
      </c>
      <c r="C108" s="66" t="n">
        <f aca="false">SUM(E108:P108)</f>
        <v>29350</v>
      </c>
      <c r="D108" s="66" t="n">
        <f aca="false">SUM(Q108:AB108)</f>
        <v>31913.1159208098</v>
      </c>
      <c r="E108" s="67" t="n">
        <f aca="false">IF(E$5="A",Inputs_Actuals!E195,IF(Assumptions!E$204=6,E104,0))</f>
        <v>0</v>
      </c>
      <c r="F108" s="67" t="n">
        <f aca="false">IF(F$5="A",Inputs_Actuals!F195,IF(Assumptions!F$204=6,F104,0))</f>
        <v>0</v>
      </c>
      <c r="G108" s="67" t="n">
        <f aca="false">IF(G$5="A",Inputs_Actuals!G195,IF(Assumptions!G$204=6,G104,0))</f>
        <v>0</v>
      </c>
      <c r="H108" s="67" t="n">
        <f aca="false">IF(H$5="A",Inputs_Actuals!H195,IF(Assumptions!H$204=6,H104,0))</f>
        <v>0</v>
      </c>
      <c r="I108" s="67" t="n">
        <f aca="false">IF(I$5="A",Inputs_Actuals!I195,IF(Assumptions!I$204=6,I104,0))</f>
        <v>0</v>
      </c>
      <c r="J108" s="67" t="n">
        <f aca="false">IF(J$5="A",Inputs_Actuals!J195,IF(Assumptions!J$204=6,J104,0))</f>
        <v>29350</v>
      </c>
      <c r="K108" s="67" t="n">
        <f aca="false">IF(K$5="A",Inputs_Actuals!K195,IF(Assumptions!K$204=6,K104,0))</f>
        <v>0</v>
      </c>
      <c r="L108" s="67" t="n">
        <f aca="false">IF(L$5="A",Inputs_Actuals!L195,IF(Assumptions!L$204=6,L104,0))</f>
        <v>0</v>
      </c>
      <c r="M108" s="67" t="n">
        <f aca="false">IF(M$5="A",Inputs_Actuals!M195,IF(Assumptions!M$204=6,M104,0))</f>
        <v>0</v>
      </c>
      <c r="N108" s="67" t="n">
        <f aca="false">IF(N$5="A",Inputs_Actuals!N195,IF(Assumptions!N$204=6,N104,0))</f>
        <v>0</v>
      </c>
      <c r="O108" s="67" t="n">
        <f aca="false">IF(O$5="A",Inputs_Actuals!O195,IF(Assumptions!O$204=6,O104,0))</f>
        <v>0</v>
      </c>
      <c r="P108" s="67" t="n">
        <f aca="false">IF(P$5="A",Inputs_Actuals!P195,IF(Assumptions!P$204=6,P104,0))</f>
        <v>0</v>
      </c>
      <c r="Q108" s="67" t="n">
        <f aca="false">IF(Q$5="A",Inputs_Actuals!Q195,IF(Assumptions!Q$204=6,Q104,0))</f>
        <v>0</v>
      </c>
      <c r="R108" s="67" t="n">
        <f aca="false">IF(R$5="A",Inputs_Actuals!R195,IF(Assumptions!R$204=6,R104,0))</f>
        <v>0</v>
      </c>
      <c r="S108" s="67" t="n">
        <f aca="false">IF(S$5="A",Inputs_Actuals!S195,IF(Assumptions!S$204=6,S104,0))</f>
        <v>0</v>
      </c>
      <c r="T108" s="67" t="n">
        <f aca="false">IF(T$5="A",Inputs_Actuals!T195,IF(Assumptions!T$204=6,T104,0))</f>
        <v>0</v>
      </c>
      <c r="U108" s="67" t="n">
        <f aca="false">IF(U$5="A",Inputs_Actuals!U195,IF(Assumptions!U$204=6,U104,0))</f>
        <v>0</v>
      </c>
      <c r="V108" s="67" t="n">
        <f aca="false">IF(V$5="A",Inputs_Actuals!V195,IF(Assumptions!V$204=6,V104,0))</f>
        <v>31913.1159208098</v>
      </c>
      <c r="W108" s="67" t="n">
        <f aca="false">IF(W$5="A",Inputs_Actuals!W195,IF(Assumptions!W$204=6,W104,0))</f>
        <v>0</v>
      </c>
      <c r="X108" s="67" t="n">
        <f aca="false">IF(X$5="A",Inputs_Actuals!X195,IF(Assumptions!X$204=6,X104,0))</f>
        <v>0</v>
      </c>
      <c r="Y108" s="67" t="n">
        <f aca="false">IF(Y$5="A",Inputs_Actuals!Y195,IF(Assumptions!Y$204=6,Y104,0))</f>
        <v>0</v>
      </c>
      <c r="Z108" s="67" t="n">
        <f aca="false">IF(Z$5="A",Inputs_Actuals!Z195,IF(Assumptions!Z$204=6,Z104,0))</f>
        <v>0</v>
      </c>
      <c r="AA108" s="67" t="n">
        <f aca="false">IF(AA$5="A",Inputs_Actuals!AA195,IF(Assumptions!AA$204=6,AA104,0))</f>
        <v>0</v>
      </c>
      <c r="AB108" s="67" t="n">
        <f aca="false">IF(AB$5="A",Inputs_Actuals!AB195,IF(Assumptions!AB$204=6,AB104,0))</f>
        <v>0</v>
      </c>
    </row>
    <row r="109" customFormat="false" ht="15" hidden="false" customHeight="false" outlineLevel="0" collapsed="false">
      <c r="A109" s="27" t="s">
        <v>1195</v>
      </c>
      <c r="B109" s="63" t="s">
        <v>1169</v>
      </c>
      <c r="C109" s="66" t="n">
        <f aca="false">SUM(E109:P109)</f>
        <v>29029.5114532496</v>
      </c>
      <c r="D109" s="66" t="n">
        <f aca="false">SUM(Q109:AB109)</f>
        <v>31917.5795312009</v>
      </c>
      <c r="E109" s="67" t="n">
        <f aca="false">IF(E$5="A",Inputs_Actuals!E196,IF(Assumptions!E$204=11,0/(1+Assumptions!$C$37)+2*E106,IF(Assumptions!E$204=12,0/(1+Assumptions!$C$37)+E106,0)))</f>
        <v>0</v>
      </c>
      <c r="F109" s="67" t="n">
        <f aca="false">IF(F$5="A",Inputs_Actuals!F196,IF(Assumptions!F$204=11,E117/(1+Assumptions!$C$37)+2*F106,IF(Assumptions!F$204=12,E117/(1+Assumptions!$C$37)+F106,0)))</f>
        <v>0</v>
      </c>
      <c r="G109" s="67" t="n">
        <f aca="false">IF(G$5="A",Inputs_Actuals!G196,IF(Assumptions!G$204=11,F117/(1+Assumptions!$C$37)+2*G106,IF(Assumptions!G$204=12,F117/(1+Assumptions!$C$37)+G106,0)))</f>
        <v>0</v>
      </c>
      <c r="H109" s="67" t="n">
        <f aca="false">IF(H$5="A",Inputs_Actuals!H196,IF(Assumptions!H$204=11,G117/(1+Assumptions!$C$37)+2*H106,IF(Assumptions!H$204=12,G117/(1+Assumptions!$C$37)+H106,0)))</f>
        <v>0</v>
      </c>
      <c r="I109" s="67" t="n">
        <f aca="false">IF(I$5="A",Inputs_Actuals!I196,IF(Assumptions!I$204=11,H117/(1+Assumptions!$C$37)+2*I106,IF(Assumptions!I$204=12,H117/(1+Assumptions!$C$37)+I106,0)))</f>
        <v>0</v>
      </c>
      <c r="J109" s="67" t="n">
        <f aca="false">IF(J$5="A",Inputs_Actuals!J196,IF(Assumptions!J$204=11,I117/(1+Assumptions!$C$37)+2*J106,IF(Assumptions!J$204=12,I117/(1+Assumptions!$C$37)+J106,0)))</f>
        <v>0</v>
      </c>
      <c r="K109" s="67" t="n">
        <f aca="false">IF(K$5="A",Inputs_Actuals!K196,IF(Assumptions!K$204=11,J117/(1+Assumptions!$C$37)+2*K106,IF(Assumptions!K$204=12,J117/(1+Assumptions!$C$37)+K106,0)))</f>
        <v>0</v>
      </c>
      <c r="L109" s="67" t="n">
        <f aca="false">IF(L$5="A",Inputs_Actuals!L196,IF(Assumptions!L$204=11,K117/(1+Assumptions!$C$37)+2*L106,IF(Assumptions!L$204=12,K117/(1+Assumptions!$C$37)+L106,0)))</f>
        <v>0</v>
      </c>
      <c r="M109" s="67" t="n">
        <f aca="false">IF(M$5="A",Inputs_Actuals!M196,IF(Assumptions!M$204=11,L117/(1+Assumptions!$C$37)+2*M106,IF(Assumptions!M$204=12,L117/(1+Assumptions!$C$37)+M106,0)))</f>
        <v>0</v>
      </c>
      <c r="N109" s="67" t="n">
        <f aca="false">IF(N$5="A",Inputs_Actuals!N196,IF(Assumptions!N$204=11,M117/(1+Assumptions!$C$37)+2*N106,IF(Assumptions!N$204=12,M117/(1+Assumptions!$C$37)+N106,0)))</f>
        <v>0</v>
      </c>
      <c r="O109" s="67" t="n">
        <f aca="false">IF(O$5="A",Inputs_Actuals!O196,IF(Assumptions!O$204=11,N117/(1+Assumptions!$C$37)+2*O106,IF(Assumptions!O$204=12,N117/(1+Assumptions!$C$37)+O106,0)))</f>
        <v>29029.3458381559</v>
      </c>
      <c r="P109" s="67" t="n">
        <f aca="false">IF(P$5="A",Inputs_Actuals!P196,IF(Assumptions!P$204=11,O117/(1+Assumptions!$C$37)+2*P106,IF(Assumptions!P$204=12,O117/(1+Assumptions!$C$37)+P106,0)))</f>
        <v>0.16561509371968</v>
      </c>
      <c r="Q109" s="67" t="n">
        <f aca="false">IF(Q$5="A",Inputs_Actuals!Q196,IF(Assumptions!Q$204=11,P117/(1+Assumptions!$C$37)+2*Q106,IF(Assumptions!Q$204=12,P117/(1+Assumptions!$C$37)+Q106,0)))</f>
        <v>0</v>
      </c>
      <c r="R109" s="67" t="n">
        <f aca="false">IF(R$5="A",Inputs_Actuals!R196,IF(Assumptions!R$204=11,Q117/(1+Assumptions!$C$37)+2*R106,IF(Assumptions!R$204=12,Q117/(1+Assumptions!$C$37)+R106,0)))</f>
        <v>0</v>
      </c>
      <c r="S109" s="67" t="n">
        <f aca="false">IF(S$5="A",Inputs_Actuals!S196,IF(Assumptions!S$204=11,R117/(1+Assumptions!$C$37)+2*S106,IF(Assumptions!S$204=12,R117/(1+Assumptions!$C$37)+S106,0)))</f>
        <v>0</v>
      </c>
      <c r="T109" s="67" t="n">
        <f aca="false">IF(T$5="A",Inputs_Actuals!T196,IF(Assumptions!T$204=11,S117/(1+Assumptions!$C$37)+2*T106,IF(Assumptions!T$204=12,S117/(1+Assumptions!$C$37)+T106,0)))</f>
        <v>0</v>
      </c>
      <c r="U109" s="67" t="n">
        <f aca="false">IF(U$5="A",Inputs_Actuals!U196,IF(Assumptions!U$204=11,T117/(1+Assumptions!$C$37)+2*U106,IF(Assumptions!U$204=12,T117/(1+Assumptions!$C$37)+U106,0)))</f>
        <v>0</v>
      </c>
      <c r="V109" s="67" t="n">
        <f aca="false">IF(V$5="A",Inputs_Actuals!V196,IF(Assumptions!V$204=11,U117/(1+Assumptions!$C$37)+2*V106,IF(Assumptions!V$204=12,U117/(1+Assumptions!$C$37)+V106,0)))</f>
        <v>0</v>
      </c>
      <c r="W109" s="67" t="n">
        <f aca="false">IF(W$5="A",Inputs_Actuals!W196,IF(Assumptions!W$204=11,V117/(1+Assumptions!$C$37)+2*W106,IF(Assumptions!W$204=12,V117/(1+Assumptions!$C$37)+W106,0)))</f>
        <v>0</v>
      </c>
      <c r="X109" s="67" t="n">
        <f aca="false">IF(X$5="A",Inputs_Actuals!X196,IF(Assumptions!X$204=11,W117/(1+Assumptions!$C$37)+2*X106,IF(Assumptions!X$204=12,W117/(1+Assumptions!$C$37)+X106,0)))</f>
        <v>0</v>
      </c>
      <c r="Y109" s="67" t="n">
        <f aca="false">IF(Y$5="A",Inputs_Actuals!Y196,IF(Assumptions!Y$204=11,X117/(1+Assumptions!$C$37)+2*Y106,IF(Assumptions!Y$204=12,X117/(1+Assumptions!$C$37)+Y106,0)))</f>
        <v>0</v>
      </c>
      <c r="Z109" s="67" t="n">
        <f aca="false">IF(Z$5="A",Inputs_Actuals!Z196,IF(Assumptions!Z$204=11,Y117/(1+Assumptions!$C$37)+2*Z106,IF(Assumptions!Z$204=12,Y117/(1+Assumptions!$C$37)+Z106,0)))</f>
        <v>0</v>
      </c>
      <c r="AA109" s="67" t="n">
        <f aca="false">IF(AA$5="A",Inputs_Actuals!AA196,IF(Assumptions!AA$204=11,Z117/(1+Assumptions!$C$37)+2*AA106,IF(Assumptions!AA$204=12,Z117/(1+Assumptions!$C$37)+AA106,0)))</f>
        <v>31917.5795312006</v>
      </c>
      <c r="AB109" s="67" t="n">
        <f aca="false">IF(AB$5="A",Inputs_Actuals!AB196,IF(Assumptions!AB$204=11,AA117/(1+Assumptions!$C$37)+2*AB106,IF(Assumptions!AB$204=12,AA117/(1+Assumptions!$C$37)+AB106,0)))</f>
        <v>3.57886165147647E-010</v>
      </c>
    </row>
    <row r="110" customFormat="false" ht="15" hidden="false" customHeight="false" outlineLevel="0" collapsed="false">
      <c r="A110" s="27" t="s">
        <v>1196</v>
      </c>
      <c r="B110" s="63"/>
      <c r="C110" s="66" t="n">
        <f aca="false">SUM(E110:P110)</f>
        <v>406733.648892245</v>
      </c>
      <c r="D110" s="66" t="n">
        <f aca="false">SUM(Q110:AB110)</f>
        <v>446841.649826422</v>
      </c>
      <c r="E110" s="76" t="n">
        <f aca="false">E104+E108+E109</f>
        <v>27200</v>
      </c>
      <c r="F110" s="76" t="n">
        <f aca="false">F104+F108+F109</f>
        <v>29350</v>
      </c>
      <c r="G110" s="76" t="n">
        <f aca="false">G104+G108+G109</f>
        <v>29350</v>
      </c>
      <c r="H110" s="76" t="n">
        <f aca="false">H104+H108+H109</f>
        <v>29350</v>
      </c>
      <c r="I110" s="76" t="n">
        <f aca="false">I104+I108+I109</f>
        <v>29350</v>
      </c>
      <c r="J110" s="76" t="n">
        <f aca="false">J104+J108+J109</f>
        <v>58700</v>
      </c>
      <c r="K110" s="76" t="n">
        <f aca="false">K104+K108+K109</f>
        <v>29350</v>
      </c>
      <c r="L110" s="76" t="n">
        <f aca="false">L104+L108+L109</f>
        <v>29350</v>
      </c>
      <c r="M110" s="76" t="n">
        <f aca="false">M104+M108+M109</f>
        <v>29105.4166666667</v>
      </c>
      <c r="N110" s="76" t="n">
        <f aca="false">N104+N108+N109</f>
        <v>28862.8715277778</v>
      </c>
      <c r="O110" s="76" t="n">
        <f aca="false">O104+O108+O109</f>
        <v>57896.2767698688</v>
      </c>
      <c r="P110" s="76" t="n">
        <f aca="false">P104+P108+P109</f>
        <v>28869.0839279313</v>
      </c>
      <c r="Q110" s="76" t="n">
        <f aca="false">Q104+Q108+Q109</f>
        <v>31949.4339606509</v>
      </c>
      <c r="R110" s="76" t="n">
        <f aca="false">R104+R108+R109</f>
        <v>31930.9631681427</v>
      </c>
      <c r="S110" s="76" t="n">
        <f aca="false">S104+S108+S109</f>
        <v>31912.6633572601</v>
      </c>
      <c r="T110" s="76" t="n">
        <f aca="false">T104+T108+T109</f>
        <v>31912.969778955</v>
      </c>
      <c r="U110" s="76" t="n">
        <f aca="false">U104+U108+U109</f>
        <v>31913.1197238649</v>
      </c>
      <c r="V110" s="76" t="n">
        <f aca="false">V104+V108+V109</f>
        <v>63826.2318416197</v>
      </c>
      <c r="W110" s="76" t="n">
        <f aca="false">W104+W108+W109</f>
        <v>31913.114702961</v>
      </c>
      <c r="X110" s="76" t="n">
        <f aca="false">X104+X108+X109</f>
        <v>31913.1147448019</v>
      </c>
      <c r="Y110" s="76" t="n">
        <f aca="false">Y104+Y108+Y109</f>
        <v>31913.114754602</v>
      </c>
      <c r="Z110" s="76" t="n">
        <f aca="false">Z104+Z108+Z109</f>
        <v>31913.1147541716</v>
      </c>
      <c r="AA110" s="76" t="n">
        <f aca="false">AA104+AA108+AA109</f>
        <v>63830.6942852941</v>
      </c>
      <c r="AB110" s="76" t="n">
        <f aca="false">AB104+AB108+AB109</f>
        <v>31913.1147540981</v>
      </c>
    </row>
    <row r="111" customFormat="false" ht="15" hidden="false" customHeight="false" outlineLevel="0" collapsed="false">
      <c r="A111" s="27" t="s">
        <v>1197</v>
      </c>
      <c r="B111" s="63" t="s">
        <v>1172</v>
      </c>
      <c r="C111" s="66" t="n">
        <f aca="false">SUM(E111:P111)</f>
        <v>96599.2116119081</v>
      </c>
      <c r="D111" s="66" t="n">
        <f aca="false">SUM(Q111:AB111)</f>
        <v>106124.891833775</v>
      </c>
      <c r="E111" s="67" t="n">
        <f aca="false">IF(E$5="A",Inputs_Actuals!E197,E110*Assumptions!$C$37)</f>
        <v>6460</v>
      </c>
      <c r="F111" s="67" t="n">
        <f aca="false">IF(F$5="A",Inputs_Actuals!F197,F110*Assumptions!$C$37)</f>
        <v>6970.62</v>
      </c>
      <c r="G111" s="67" t="n">
        <f aca="false">IF(G$5="A",Inputs_Actuals!G197,G110*Assumptions!$C$37)</f>
        <v>6970.62</v>
      </c>
      <c r="H111" s="67" t="n">
        <f aca="false">IF(H$5="A",Inputs_Actuals!H197,H110*Assumptions!$C$37)</f>
        <v>6970.62</v>
      </c>
      <c r="I111" s="67" t="n">
        <f aca="false">IF(I$5="A",Inputs_Actuals!I197,I110*Assumptions!$C$37)</f>
        <v>6970.62</v>
      </c>
      <c r="J111" s="67" t="n">
        <f aca="false">IF(J$5="A",Inputs_Actuals!J197,J110*Assumptions!$C$37)</f>
        <v>13941.25</v>
      </c>
      <c r="K111" s="67" t="n">
        <f aca="false">IF(K$5="A",Inputs_Actuals!K197,K110*Assumptions!$C$37)</f>
        <v>6970.62</v>
      </c>
      <c r="L111" s="67" t="n">
        <f aca="false">IF(L$5="A",Inputs_Actuals!L197,L110*Assumptions!$C$37)</f>
        <v>6970.62</v>
      </c>
      <c r="M111" s="67" t="n">
        <f aca="false">IF(M$5="A",Inputs_Actuals!M197,M110*Assumptions!$C$37)</f>
        <v>6912.53645833333</v>
      </c>
      <c r="N111" s="67" t="n">
        <f aca="false">IF(N$5="A",Inputs_Actuals!N197,N110*Assumptions!$C$37)</f>
        <v>6854.93198784722</v>
      </c>
      <c r="O111" s="67" t="n">
        <f aca="false">IF(O$5="A",Inputs_Actuals!O197,O110*Assumptions!$C$37)</f>
        <v>13750.3657328438</v>
      </c>
      <c r="P111" s="67" t="n">
        <f aca="false">IF(P$5="A",Inputs_Actuals!P197,P110*Assumptions!$C$37)</f>
        <v>6856.40743288368</v>
      </c>
      <c r="Q111" s="67" t="n">
        <f aca="false">IF(Q$5="A",Inputs_Actuals!Q197,Q110*Assumptions!$C$37)</f>
        <v>7587.9905656546</v>
      </c>
      <c r="R111" s="67" t="n">
        <f aca="false">IF(R$5="A",Inputs_Actuals!R197,R110*Assumptions!$C$37)</f>
        <v>7583.6037524339</v>
      </c>
      <c r="S111" s="67" t="n">
        <f aca="false">IF(S$5="A",Inputs_Actuals!S197,S110*Assumptions!$C$37)</f>
        <v>7579.25754734926</v>
      </c>
      <c r="T111" s="67" t="n">
        <f aca="false">IF(T$5="A",Inputs_Actuals!T197,T110*Assumptions!$C$37)</f>
        <v>7579.33032250181</v>
      </c>
      <c r="U111" s="67" t="n">
        <f aca="false">IF(U$5="A",Inputs_Actuals!U197,U110*Assumptions!$C$37)</f>
        <v>7579.36593441791</v>
      </c>
      <c r="V111" s="67" t="n">
        <f aca="false">IF(V$5="A",Inputs_Actuals!V197,V110*Assumptions!$C$37)</f>
        <v>15158.7300623847</v>
      </c>
      <c r="W111" s="67" t="n">
        <f aca="false">IF(W$5="A",Inputs_Actuals!W197,W110*Assumptions!$C$37)</f>
        <v>7579.36474195325</v>
      </c>
      <c r="X111" s="67" t="n">
        <f aca="false">IF(X$5="A",Inputs_Actuals!X197,X110*Assumptions!$C$37)</f>
        <v>7579.36475189045</v>
      </c>
      <c r="Y111" s="67" t="n">
        <f aca="false">IF(Y$5="A",Inputs_Actuals!Y197,Y110*Assumptions!$C$37)</f>
        <v>7579.36475421797</v>
      </c>
      <c r="Z111" s="67" t="n">
        <f aca="false">IF(Z$5="A",Inputs_Actuals!Z197,Z110*Assumptions!$C$37)</f>
        <v>7579.36475411576</v>
      </c>
      <c r="AA111" s="67" t="n">
        <f aca="false">IF(AA$5="A",Inputs_Actuals!AA197,AA110*Assumptions!$C$37)</f>
        <v>15159.7898927574</v>
      </c>
      <c r="AB111" s="67" t="n">
        <f aca="false">IF(AB$5="A",Inputs_Actuals!AB197,AB110*Assumptions!$C$37)</f>
        <v>7579.36475409831</v>
      </c>
    </row>
    <row r="112" customFormat="false" ht="15" hidden="false" customHeight="false" outlineLevel="0" collapsed="false">
      <c r="A112" s="27" t="s">
        <v>1198</v>
      </c>
      <c r="B112" s="63" t="s">
        <v>1174</v>
      </c>
      <c r="C112" s="66" t="n">
        <f aca="false">SUM(E112:P112)</f>
        <v>44740.7013781469</v>
      </c>
      <c r="D112" s="66" t="n">
        <f aca="false">SUM(Q112:AB112)</f>
        <v>49152.5814809064</v>
      </c>
      <c r="E112" s="67" t="n">
        <f aca="false">IF(E$5="A",Inputs_Actuals!E198,E110*Assumptions!$C$38)</f>
        <v>2992</v>
      </c>
      <c r="F112" s="67" t="n">
        <f aca="false">IF(F$5="A",Inputs_Actuals!F198,F110*Assumptions!$C$38)</f>
        <v>3228.5</v>
      </c>
      <c r="G112" s="67" t="n">
        <f aca="false">IF(G$5="A",Inputs_Actuals!G198,G110*Assumptions!$C$38)</f>
        <v>3228.5</v>
      </c>
      <c r="H112" s="67" t="n">
        <f aca="false">IF(H$5="A",Inputs_Actuals!H198,H110*Assumptions!$C$38)</f>
        <v>3228.5</v>
      </c>
      <c r="I112" s="67" t="n">
        <f aca="false">IF(I$5="A",Inputs_Actuals!I198,I110*Assumptions!$C$38)</f>
        <v>3228.5</v>
      </c>
      <c r="J112" s="67" t="n">
        <f aca="false">IF(J$5="A",Inputs_Actuals!J198,J110*Assumptions!$C$38)</f>
        <v>6457</v>
      </c>
      <c r="K112" s="67" t="n">
        <f aca="false">IF(K$5="A",Inputs_Actuals!K198,K110*Assumptions!$C$38)</f>
        <v>3228.5</v>
      </c>
      <c r="L112" s="67" t="n">
        <f aca="false">IF(L$5="A",Inputs_Actuals!L198,L110*Assumptions!$C$38)</f>
        <v>3228.5</v>
      </c>
      <c r="M112" s="67" t="n">
        <f aca="false">IF(M$5="A",Inputs_Actuals!M198,M110*Assumptions!$C$38)</f>
        <v>3201.59583333333</v>
      </c>
      <c r="N112" s="67" t="n">
        <f aca="false">IF(N$5="A",Inputs_Actuals!N198,N110*Assumptions!$C$38)</f>
        <v>3174.91586805556</v>
      </c>
      <c r="O112" s="67" t="n">
        <f aca="false">IF(O$5="A",Inputs_Actuals!O198,O110*Assumptions!$C$38)</f>
        <v>6368.59044468557</v>
      </c>
      <c r="P112" s="67" t="n">
        <f aca="false">IF(P$5="A",Inputs_Actuals!P198,P110*Assumptions!$C$38)</f>
        <v>3175.59923207244</v>
      </c>
      <c r="Q112" s="67" t="n">
        <f aca="false">IF(Q$5="A",Inputs_Actuals!Q198,Q110*Assumptions!$C$38)</f>
        <v>3514.4377356716</v>
      </c>
      <c r="R112" s="67" t="n">
        <f aca="false">IF(R$5="A",Inputs_Actuals!R198,R110*Assumptions!$C$38)</f>
        <v>3512.4059484957</v>
      </c>
      <c r="S112" s="67" t="n">
        <f aca="false">IF(S$5="A",Inputs_Actuals!S198,S110*Assumptions!$C$38)</f>
        <v>3510.39296929861</v>
      </c>
      <c r="T112" s="67" t="n">
        <f aca="false">IF(T$5="A",Inputs_Actuals!T198,T110*Assumptions!$C$38)</f>
        <v>3510.42667568505</v>
      </c>
      <c r="U112" s="67" t="n">
        <f aca="false">IF(U$5="A",Inputs_Actuals!U198,U110*Assumptions!$C$38)</f>
        <v>3510.44316962514</v>
      </c>
      <c r="V112" s="67" t="n">
        <f aca="false">IF(V$5="A",Inputs_Actuals!V198,V110*Assumptions!$C$38)</f>
        <v>7020.88550257816</v>
      </c>
      <c r="W112" s="67" t="n">
        <f aca="false">IF(W$5="A",Inputs_Actuals!W198,W110*Assumptions!$C$38)</f>
        <v>3510.44261732571</v>
      </c>
      <c r="X112" s="67" t="n">
        <f aca="false">IF(X$5="A",Inputs_Actuals!X198,X110*Assumptions!$C$38)</f>
        <v>3510.44262192821</v>
      </c>
      <c r="Y112" s="67" t="n">
        <f aca="false">IF(Y$5="A",Inputs_Actuals!Y198,Y110*Assumptions!$C$38)</f>
        <v>3510.44262300622</v>
      </c>
      <c r="Z112" s="67" t="n">
        <f aca="false">IF(Z$5="A",Inputs_Actuals!Z198,Z110*Assumptions!$C$38)</f>
        <v>3510.44262295888</v>
      </c>
      <c r="AA112" s="67" t="n">
        <f aca="false">IF(AA$5="A",Inputs_Actuals!AA198,AA110*Assumptions!$C$38)</f>
        <v>7021.37637138236</v>
      </c>
      <c r="AB112" s="67" t="n">
        <f aca="false">IF(AB$5="A",Inputs_Actuals!AB198,AB110*Assumptions!$C$38)</f>
        <v>3510.4426229508</v>
      </c>
    </row>
    <row r="113" customFormat="false" ht="15" hidden="false" customHeight="false" outlineLevel="0" collapsed="false">
      <c r="A113" s="27" t="s">
        <v>1199</v>
      </c>
      <c r="B113" s="63" t="s">
        <v>1176</v>
      </c>
      <c r="C113" s="66" t="n">
        <f aca="false">SUM(E113:P113)</f>
        <v>70031.2092966836</v>
      </c>
      <c r="D113" s="66" t="n">
        <f aca="false">SUM(Q113:AB113)</f>
        <v>79008.9121692013</v>
      </c>
      <c r="E113" s="67" t="n">
        <f aca="false">IF(E$5="A",Inputs_Actuals!E199,IF((E57+E58)=0,0,(E74*E57+E75*E58)/(E57+E58))*(E104+E108+E109))</f>
        <v>4702.8</v>
      </c>
      <c r="F113" s="67" t="n">
        <f aca="false">IF(F$5="A",Inputs_Actuals!F199,IF((F57+F58)=0,0,(F74*F57+F75*F58)/(F57+F58))*(F104+F108+F109))</f>
        <v>5051.96</v>
      </c>
      <c r="G113" s="67" t="n">
        <f aca="false">IF(G$5="A",Inputs_Actuals!G199,IF((G57+G58)=0,0,(G74*G57+G75*G58)/(G57+G58))*(G104+G108+G109))</f>
        <v>5051.96</v>
      </c>
      <c r="H113" s="67" t="n">
        <f aca="false">IF(H$5="A",Inputs_Actuals!H199,IF((H57+H58)=0,0,(H74*H57+H75*H58)/(H57+H58))*(H104+H108+H109))</f>
        <v>5051.96</v>
      </c>
      <c r="I113" s="67" t="n">
        <f aca="false">IF(I$5="A",Inputs_Actuals!I199,IF((I57+I58)=0,0,(I74*I57+I75*I58)/(I57+I58))*(I104+I108+I109))</f>
        <v>5051.96</v>
      </c>
      <c r="J113" s="67" t="n">
        <f aca="false">IF(J$5="A",Inputs_Actuals!J199,IF((J57+J58)=0,0,(J74*J57+J75*J58)/(J57+J58))*(J104+J108+J109))</f>
        <v>10103.92</v>
      </c>
      <c r="K113" s="67" t="n">
        <f aca="false">IF(K$5="A",Inputs_Actuals!K199,IF((K57+K58)=0,0,(K74*K57+K75*K58)/(K57+K58))*(K104+K108+K109))</f>
        <v>5051.96</v>
      </c>
      <c r="L113" s="67" t="n">
        <f aca="false">IF(L$5="A",Inputs_Actuals!L199,IF((L57+L58)=0,0,(L74*L57+L75*L58)/(L57+L58))*(L104+L108+L109))</f>
        <v>5051.96</v>
      </c>
      <c r="M113" s="67" t="n">
        <f aca="false">IF(M$5="A",Inputs_Actuals!M199,IF((M57+M58)=0,0,(M74*M57+M75*M58)/(M57+M58))*(M104+M108+M109))</f>
        <v>5009.86033333333</v>
      </c>
      <c r="N113" s="67" t="n">
        <f aca="false">IF(N$5="A",Inputs_Actuals!N199,IF((N57+N58)=0,0,(N74*N57+N75*N58)/(N57+N58))*(N104+N108+N109))</f>
        <v>4968.11149722222</v>
      </c>
      <c r="O113" s="67" t="n">
        <f aca="false">IF(O$5="A",Inputs_Actuals!O199,IF((O57+O58)=0,0,(O74*O57+O75*O58)/(O57+O58))*(O104+O108+O109))</f>
        <v>9965.57664021487</v>
      </c>
      <c r="P113" s="67" t="n">
        <f aca="false">IF(P$5="A",Inputs_Actuals!P199,IF((P57+P58)=0,0,(P74*P57+P75*P58)/(P57+P58))*(P104+P108+P109))</f>
        <v>4969.18082591318</v>
      </c>
      <c r="Q113" s="67" t="n">
        <f aca="false">IF(Q$5="A",Inputs_Actuals!Q199,IF((Q57+Q58)=0,0,(Q74*Q57+Q75*Q58)/(Q57+Q58))*(Q104+Q108+Q109))</f>
        <v>5648.89080221442</v>
      </c>
      <c r="R113" s="67" t="n">
        <f aca="false">IF(R$5="A",Inputs_Actuals!R199,IF((R57+R58)=0,0,(R74*R57+R75*R58)/(R57+R58))*(R104+R108+R109))</f>
        <v>5645.79059736931</v>
      </c>
      <c r="S113" s="67" t="n">
        <f aca="false">IF(S$5="A",Inputs_Actuals!S199,IF((S57+S58)=0,0,(S74*S57+S75*S58)/(S57+S58))*(S104+S108+S109))</f>
        <v>5642.71925500347</v>
      </c>
      <c r="T113" s="67" t="n">
        <f aca="false">IF(T$5="A",Inputs_Actuals!T199,IF((T57+T58)=0,0,(T74*T57+T75*T58)/(T57+T58))*(T104+T108+T109))</f>
        <v>5642.77068456356</v>
      </c>
      <c r="U113" s="67" t="n">
        <f aca="false">IF(U$5="A",Inputs_Actuals!U199,IF((U57+U58)=0,0,(U74*U57+U75*U58)/(U57+U58))*(U104+U108+U109))</f>
        <v>5642.79585050361</v>
      </c>
      <c r="V113" s="67" t="n">
        <f aca="false">IF(V$5="A",Inputs_Actuals!V199,IF((V57+V58)=0,0,(V74*V57+V75*V58)/(V57+V58))*(V104+V108+V109))</f>
        <v>11285.5904244155</v>
      </c>
      <c r="W113" s="67" t="n">
        <f aca="false">IF(W$5="A",Inputs_Actuals!W199,IF((W57+W58)=0,0,(W74*W57+W75*W58)/(W57+W58))*(W104+W108+W109))</f>
        <v>5642.79500781074</v>
      </c>
      <c r="X113" s="67" t="n">
        <f aca="false">IF(X$5="A",Inputs_Actuals!X199,IF((X57+X58)=0,0,(X74*X57+X75*X58)/(X57+X58))*(X104+X108+X109))</f>
        <v>5642.79501483318</v>
      </c>
      <c r="Y113" s="67" t="n">
        <f aca="false">IF(Y$5="A",Inputs_Actuals!Y199,IF((Y57+Y58)=0,0,(Y74*Y57+Y75*Y58)/(Y57+Y58))*(Y104+Y108+Y109))</f>
        <v>5642.79501647797</v>
      </c>
      <c r="Z113" s="67" t="n">
        <f aca="false">IF(Z$5="A",Inputs_Actuals!Z199,IF((Z57+Z58)=0,0,(Z74*Z57+Z75*Z58)/(Z57+Z58))*(Z104+Z108+Z109))</f>
        <v>5642.79501640574</v>
      </c>
      <c r="AA113" s="67" t="n">
        <f aca="false">IF(AA$5="A",Inputs_Actuals!AA199,IF((AA57+AA58)=0,0,(AA74*AA57+AA75*AA58)/(AA57+AA58))*(AA104+AA108+AA109))</f>
        <v>11286.3794832104</v>
      </c>
      <c r="AB113" s="67" t="n">
        <f aca="false">IF(AB$5="A",Inputs_Actuals!AB199,IF((AB57+AB58)=0,0,(AB74*AB57+AB75*AB58)/(AB57+AB58))*(AB104+AB108+AB109))</f>
        <v>5642.79501639341</v>
      </c>
    </row>
    <row r="114" customFormat="false" ht="15" hidden="false" customHeight="false" outlineLevel="0" collapsed="false">
      <c r="A114" s="27" t="s">
        <v>1200</v>
      </c>
      <c r="B114" s="63" t="s">
        <v>1178</v>
      </c>
      <c r="C114" s="66" t="n">
        <f aca="false">SUM(E114:P114)</f>
        <v>29551.4408441001</v>
      </c>
      <c r="D114" s="66" t="n">
        <f aca="false">SUM(Q114:AB114)</f>
        <v>31676.9823106965</v>
      </c>
      <c r="E114" s="67" t="n">
        <f aca="false">IF(E$5="A",Inputs_Actuals!E200,E103*Assumptions!$C$41*(Assumptions!$C$42-Assumptions!$C$43*Assumptions!E$214))</f>
        <v>2414.4</v>
      </c>
      <c r="F114" s="67" t="n">
        <f aca="false">IF(F$5="A",Inputs_Actuals!F200,F103*Assumptions!$C$41*(Assumptions!$C$42-Assumptions!$C$43*Assumptions!F$214))</f>
        <v>2587</v>
      </c>
      <c r="G114" s="67" t="n">
        <f aca="false">IF(G$5="A",Inputs_Actuals!G200,G103*Assumptions!$C$41*(Assumptions!$C$42-Assumptions!$C$43*Assumptions!G$214))</f>
        <v>2587</v>
      </c>
      <c r="H114" s="67" t="n">
        <f aca="false">IF(H$5="A",Inputs_Actuals!H200,H103*Assumptions!$C$41*(Assumptions!$C$42-Assumptions!$C$43*Assumptions!H$214))</f>
        <v>2472.6</v>
      </c>
      <c r="I114" s="67" t="n">
        <f aca="false">IF(I$5="A",Inputs_Actuals!I200,I103*Assumptions!$C$41*(Assumptions!$C$42-Assumptions!$C$43*Assumptions!I$214))</f>
        <v>2558.4</v>
      </c>
      <c r="J114" s="67" t="n">
        <f aca="false">IF(J$5="A",Inputs_Actuals!J200,J103*Assumptions!$C$41*(Assumptions!$C$42-Assumptions!$C$43*Assumptions!J$214))</f>
        <v>2472.6</v>
      </c>
      <c r="K114" s="67" t="n">
        <f aca="false">IF(K$5="A",Inputs_Actuals!K200,K103*Assumptions!$C$41*(Assumptions!$C$42-Assumptions!$C$43*Assumptions!K$214))</f>
        <v>2329.6</v>
      </c>
      <c r="L114" s="67" t="n">
        <f aca="false">IF(L$5="A",Inputs_Actuals!L200,L103*Assumptions!$C$41*(Assumptions!$C$42-Assumptions!$C$43*Assumptions!L$214))</f>
        <v>2100.8</v>
      </c>
      <c r="M114" s="67" t="n">
        <f aca="false">IF(M$5="A",Inputs_Actuals!M200,M103*Assumptions!$C$41*(Assumptions!$C$42-Assumptions!$C$43*Assumptions!M$214))</f>
        <v>2480.35666666667</v>
      </c>
      <c r="N114" s="67" t="n">
        <f aca="false">IF(N$5="A",Inputs_Actuals!N200,N103*Assumptions!$C$41*(Assumptions!$C$42-Assumptions!$C$43*Assumptions!N$214))</f>
        <v>2544.06298611111</v>
      </c>
      <c r="O114" s="67" t="n">
        <f aca="false">IF(O$5="A",Inputs_Actuals!O200,O103*Assumptions!$C$41*(Assumptions!$C$42-Assumptions!$C$43*Assumptions!O$214))</f>
        <v>2572.55006967593</v>
      </c>
      <c r="P114" s="67" t="n">
        <f aca="false">IF(P$5="A",Inputs_Actuals!P200,P103*Assumptions!$C$41*(Assumptions!$C$42-Assumptions!$C$43*Assumptions!P$214))</f>
        <v>2432.07112164641</v>
      </c>
      <c r="Q114" s="67" t="n">
        <f aca="false">IF(Q$5="A",Inputs_Actuals!Q200,Q103*Assumptions!$C$41*(Assumptions!$C$42-Assumptions!$C$43*Assumptions!Q$214))</f>
        <v>2773.92268958431</v>
      </c>
      <c r="R114" s="67" t="n">
        <f aca="false">IF(R$5="A",Inputs_Actuals!R200,R103*Assumptions!$C$41*(Assumptions!$C$42-Assumptions!$C$43*Assumptions!R$214))</f>
        <v>2741.93177087109</v>
      </c>
      <c r="S114" s="67" t="n">
        <f aca="false">IF(S$5="A",Inputs_Actuals!S200,S103*Assumptions!$C$41*(Assumptions!$C$42-Assumptions!$C$43*Assumptions!S$214))</f>
        <v>2740.28730585129</v>
      </c>
      <c r="T114" s="67" t="n">
        <f aca="false">IF(T$5="A",Inputs_Actuals!T200,T103*Assumptions!$C$41*(Assumptions!$C$42-Assumptions!$C$43*Assumptions!T$214))</f>
        <v>2619.13508926329</v>
      </c>
      <c r="U114" s="67" t="n">
        <f aca="false">IF(U$5="A",Inputs_Actuals!U200,U103*Assumptions!$C$41*(Assumptions!$C$42-Assumptions!$C$43*Assumptions!U$214))</f>
        <v>2710.03322853829</v>
      </c>
      <c r="V114" s="67" t="n">
        <f aca="false">IF(V$5="A",Inputs_Actuals!V200,V103*Assumptions!$C$41*(Assumptions!$C$42-Assumptions!$C$43*Assumptions!V$214))</f>
        <v>2619.14764119093</v>
      </c>
      <c r="W114" s="67" t="n">
        <f aca="false">IF(W$5="A",Inputs_Actuals!W200,W103*Assumptions!$C$41*(Assumptions!$C$42-Assumptions!$C$43*Assumptions!W$214))</f>
        <v>2467.67212700948</v>
      </c>
      <c r="X114" s="67" t="n">
        <f aca="false">IF(X$5="A",Inputs_Actuals!X200,X103*Assumptions!$C$41*(Assumptions!$C$42-Assumptions!$C$43*Assumptions!X$214))</f>
        <v>2225.31147473144</v>
      </c>
      <c r="Y114" s="67" t="n">
        <f aca="false">IF(Y$5="A",Inputs_Actuals!Y200,Y103*Assumptions!$C$41*(Assumptions!$C$42-Assumptions!$C$43*Assumptions!Y$214))</f>
        <v>2649.44262299457</v>
      </c>
      <c r="Z114" s="67" t="n">
        <f aca="false">IF(Z$5="A",Inputs_Actuals!Z200,Z103*Assumptions!$C$41*(Assumptions!$C$42-Assumptions!$C$43*Assumptions!Z$214))</f>
        <v>2740.32786885904</v>
      </c>
      <c r="AA114" s="67" t="n">
        <f aca="false">IF(AA$5="A",Inputs_Actuals!AA200,AA103*Assumptions!$C$41*(Assumptions!$C$42-Assumptions!$C$43*Assumptions!AA$214))</f>
        <v>2770.62295081924</v>
      </c>
      <c r="AB114" s="67" t="n">
        <f aca="false">IF(AB$5="A",Inputs_Actuals!AB200,AB103*Assumptions!$C$41*(Assumptions!$C$42-Assumptions!$C$43*Assumptions!AB$214))</f>
        <v>2619.14754098356</v>
      </c>
    </row>
    <row r="115" customFormat="false" ht="15" hidden="false" customHeight="false" outlineLevel="0" collapsed="false">
      <c r="A115" s="27" t="s">
        <v>1201</v>
      </c>
      <c r="B115" s="63" t="s">
        <v>1180</v>
      </c>
      <c r="C115" s="66" t="n">
        <f aca="false">SUM(E115:P115)</f>
        <v>8593.71668585636</v>
      </c>
      <c r="D115" s="66" t="n">
        <f aca="false">SUM(Q115:AB115)</f>
        <v>9442.47414296362</v>
      </c>
      <c r="E115" s="67" t="n">
        <f aca="false">IF(E$5="A",Inputs_Actuals!E201,E103*Assumptions!$C$45*Assumptions!E$208+Assumptions!$C$44*E104*14/12)</f>
        <v>669.6</v>
      </c>
      <c r="F115" s="67" t="n">
        <f aca="false">IF(F$5="A",Inputs_Actuals!F201,F103*Assumptions!$C$45*Assumptions!F$208+Assumptions!$C$44*F104*14/12)</f>
        <v>724.18</v>
      </c>
      <c r="G115" s="67" t="n">
        <f aca="false">IF(G$5="A",Inputs_Actuals!G201,G103*Assumptions!$C$45*Assumptions!G$208+Assumptions!$C$44*G104*14/12)</f>
        <v>724.18</v>
      </c>
      <c r="H115" s="67" t="n">
        <f aca="false">IF(H$5="A",Inputs_Actuals!H201,H103*Assumptions!$C$45*Assumptions!H$208+Assumptions!$C$44*H104*14/12)</f>
        <v>724.18</v>
      </c>
      <c r="I115" s="67" t="n">
        <f aca="false">IF(I$5="A",Inputs_Actuals!I201,I103*Assumptions!$C$45*Assumptions!I$208+Assumptions!$C$44*I104*14/12)</f>
        <v>724.18</v>
      </c>
      <c r="J115" s="67" t="n">
        <f aca="false">IF(J$5="A",Inputs_Actuals!J201,J103*Assumptions!$C$45*Assumptions!J$208+Assumptions!$C$44*J104*14/12)</f>
        <v>724.18</v>
      </c>
      <c r="K115" s="67" t="n">
        <f aca="false">IF(K$5="A",Inputs_Actuals!K201,K103*Assumptions!$C$45*Assumptions!K$208+Assumptions!$C$44*K104*14/12)</f>
        <v>724.18</v>
      </c>
      <c r="L115" s="67" t="n">
        <f aca="false">IF(L$5="A",Inputs_Actuals!L201,L103*Assumptions!$C$45*Assumptions!L$208+Assumptions!$C$44*L104*14/12)</f>
        <v>724.18</v>
      </c>
      <c r="M115" s="67" t="n">
        <f aca="false">IF(M$5="A",Inputs_Actuals!M201,M103*Assumptions!$C$45*Assumptions!M$208+Assumptions!$C$44*M104*14/12)</f>
        <v>718.140208333333</v>
      </c>
      <c r="N115" s="67" t="n">
        <f aca="false">IF(N$5="A",Inputs_Actuals!N201,N103*Assumptions!$C$45*Assumptions!N$208+Assumptions!$C$44*N104*14/12)</f>
        <v>712.155706597222</v>
      </c>
      <c r="O115" s="67" t="n">
        <f aca="false">IF(O$5="A",Inputs_Actuals!O201,O103*Assumptions!$C$45*Assumptions!O$208+Assumptions!$C$44*O104*14/12)</f>
        <v>712.255867375579</v>
      </c>
      <c r="P115" s="67" t="n">
        <f aca="false">IF(P$5="A",Inputs_Actuals!P201,P103*Assumptions!$C$45*Assumptions!P$208+Assumptions!$C$44*P104*14/12)</f>
        <v>712.304903550227</v>
      </c>
      <c r="Q115" s="67" t="n">
        <f aca="false">IF(Q$5="A",Inputs_Actuals!Q201,Q103*Assumptions!$C$45*Assumptions!Q$208+Assumptions!$C$44*Q104*14/12)</f>
        <v>787.679117314297</v>
      </c>
      <c r="R115" s="67" t="n">
        <f aca="false">IF(R$5="A",Inputs_Actuals!R201,R103*Assumptions!$C$45*Assumptions!R$208+Assumptions!$C$44*R104*14/12)</f>
        <v>787.211606152794</v>
      </c>
      <c r="S115" s="67" t="n">
        <f aca="false">IF(S$5="A",Inputs_Actuals!S201,S103*Assumptions!$C$45*Assumptions!S$208+Assumptions!$C$44*S104*14/12)</f>
        <v>786.748410637774</v>
      </c>
      <c r="T115" s="67" t="n">
        <f aca="false">IF(T$5="A",Inputs_Actuals!T201,T103*Assumptions!$C$45*Assumptions!T$208+Assumptions!$C$44*T104*14/12)</f>
        <v>786.756166526745</v>
      </c>
      <c r="U115" s="67" t="n">
        <f aca="false">IF(U$5="A",Inputs_Actuals!U201,U103*Assumptions!$C$45*Assumptions!U$208+Assumptions!$C$44*U104*14/12)</f>
        <v>786.759961856962</v>
      </c>
      <c r="V115" s="67" t="n">
        <f aca="false">IF(V$5="A",Inputs_Actuals!V201,V103*Assumptions!$C$45*Assumptions!V$208+Assumptions!$C$44*V104*14/12)</f>
        <v>786.759865596803</v>
      </c>
      <c r="W115" s="67" t="n">
        <f aca="false">IF(W$5="A",Inputs_Actuals!W201,W103*Assumptions!$C$45*Assumptions!W$208+Assumptions!$C$44*W104*14/12)</f>
        <v>786.759834771219</v>
      </c>
      <c r="X115" s="67" t="n">
        <f aca="false">IF(X$5="A",Inputs_Actuals!X201,X103*Assumptions!$C$45*Assumptions!X$208+Assumptions!$C$44*X104*14/12)</f>
        <v>786.759835830266</v>
      </c>
      <c r="Y115" s="67" t="n">
        <f aca="false">IF(Y$5="A",Inputs_Actuals!Y201,Y103*Assumptions!$C$45*Assumptions!Y$208+Assumptions!$C$44*Y104*14/12)</f>
        <v>786.759836078321</v>
      </c>
      <c r="Z115" s="67" t="n">
        <f aca="false">IF(Z$5="A",Inputs_Actuals!Z201,Z103*Assumptions!$C$45*Assumptions!Z$208+Assumptions!$C$44*Z104*14/12)</f>
        <v>786.759836067428</v>
      </c>
      <c r="AA115" s="67" t="n">
        <f aca="false">IF(AA$5="A",Inputs_Actuals!AA201,AA103*Assumptions!$C$45*Assumptions!AA$208+Assumptions!$C$44*AA104*14/12)</f>
        <v>786.759836065452</v>
      </c>
      <c r="AB115" s="67" t="n">
        <f aca="false">IF(AB$5="A",Inputs_Actuals!AB201,AB103*Assumptions!$C$45*Assumptions!AB$208+Assumptions!$C$44*AB104*14/12)</f>
        <v>786.759836065559</v>
      </c>
    </row>
    <row r="116" customFormat="false" ht="15" hidden="false" customHeight="false" outlineLevel="0" collapsed="false">
      <c r="A116" s="27" t="s">
        <v>1202</v>
      </c>
      <c r="B116" s="63" t="s">
        <v>1182</v>
      </c>
      <c r="C116" s="66" t="n">
        <f aca="false">SUM(E116:P116)</f>
        <v>291961.738217414</v>
      </c>
      <c r="D116" s="66" t="n">
        <f aca="false">SUM(Q116:AB116)</f>
        <v>318680.156176314</v>
      </c>
      <c r="E116" s="67" t="n">
        <f aca="false">IF(E$5="A",Inputs_Actuals!E202,E110-E112-E113)</f>
        <v>19505.2</v>
      </c>
      <c r="F116" s="67" t="n">
        <f aca="false">IF(F$5="A",Inputs_Actuals!F202,F110-F112-F113)</f>
        <v>21069.54</v>
      </c>
      <c r="G116" s="67" t="n">
        <f aca="false">IF(G$5="A",Inputs_Actuals!G202,G110-G112-G113)</f>
        <v>21069.54</v>
      </c>
      <c r="H116" s="67" t="n">
        <f aca="false">IF(H$5="A",Inputs_Actuals!H202,H110-H112-H113)</f>
        <v>21069.54</v>
      </c>
      <c r="I116" s="67" t="n">
        <f aca="false">IF(I$5="A",Inputs_Actuals!I202,I110-I112-I113)</f>
        <v>21069.54</v>
      </c>
      <c r="J116" s="67" t="n">
        <f aca="false">IF(J$5="A",Inputs_Actuals!J202,J110-J112-J113)</f>
        <v>42139.08</v>
      </c>
      <c r="K116" s="67" t="n">
        <f aca="false">IF(K$5="A",Inputs_Actuals!K202,K110-K112-K113)</f>
        <v>21069.54</v>
      </c>
      <c r="L116" s="67" t="n">
        <f aca="false">IF(L$5="A",Inputs_Actuals!L202,L110-L112-L113)</f>
        <v>21069.54</v>
      </c>
      <c r="M116" s="67" t="n">
        <f aca="false">IF(M$5="A",Inputs_Actuals!M202,M110-M112-M113)</f>
        <v>20893.9605</v>
      </c>
      <c r="N116" s="67" t="n">
        <f aca="false">IF(N$5="A",Inputs_Actuals!N202,N110-N112-N113)</f>
        <v>20719.8441625</v>
      </c>
      <c r="O116" s="67" t="n">
        <f aca="false">IF(O$5="A",Inputs_Actuals!O202,O110-O112-O113)</f>
        <v>41562.1096849684</v>
      </c>
      <c r="P116" s="67" t="n">
        <f aca="false">IF(P$5="A",Inputs_Actuals!P202,P110-P112-P113)</f>
        <v>20724.3038699457</v>
      </c>
      <c r="Q116" s="67" t="n">
        <f aca="false">IF(Q$5="A",Inputs_Actuals!Q202,Q110-Q112-Q113)</f>
        <v>22786.1054227649</v>
      </c>
      <c r="R116" s="67" t="n">
        <f aca="false">IF(R$5="A",Inputs_Actuals!R202,R110-R112-R113)</f>
        <v>22772.7666222777</v>
      </c>
      <c r="S116" s="67" t="n">
        <f aca="false">IF(S$5="A",Inputs_Actuals!S202,S110-S112-S113)</f>
        <v>22759.551132958</v>
      </c>
      <c r="T116" s="67" t="n">
        <f aca="false">IF(T$5="A",Inputs_Actuals!T202,T110-T112-T113)</f>
        <v>22759.7724187064</v>
      </c>
      <c r="U116" s="67" t="n">
        <f aca="false">IF(U$5="A",Inputs_Actuals!U202,U110-U112-U113)</f>
        <v>22759.8807037361</v>
      </c>
      <c r="V116" s="67" t="n">
        <f aca="false">IF(V$5="A",Inputs_Actuals!V202,V110-V112-V113)</f>
        <v>45519.755914626</v>
      </c>
      <c r="W116" s="67" t="n">
        <f aca="false">IF(W$5="A",Inputs_Actuals!W202,W110-W112-W113)</f>
        <v>22759.8770778246</v>
      </c>
      <c r="X116" s="67" t="n">
        <f aca="false">IF(X$5="A",Inputs_Actuals!X202,X110-X112-X113)</f>
        <v>22759.8771080405</v>
      </c>
      <c r="Y116" s="67" t="n">
        <f aca="false">IF(Y$5="A",Inputs_Actuals!Y202,Y110-Y112-Y113)</f>
        <v>22759.8771151178</v>
      </c>
      <c r="Z116" s="67" t="n">
        <f aca="false">IF(Z$5="A",Inputs_Actuals!Z202,Z110-Z112-Z113)</f>
        <v>22759.877114807</v>
      </c>
      <c r="AA116" s="67" t="n">
        <f aca="false">IF(AA$5="A",Inputs_Actuals!AA202,AA110-AA112-AA113)</f>
        <v>45522.9384307014</v>
      </c>
      <c r="AB116" s="67" t="n">
        <f aca="false">IF(AB$5="A",Inputs_Actuals!AB202,AB110-AB112-AB113)</f>
        <v>22759.8771147539</v>
      </c>
    </row>
    <row r="117" customFormat="false" ht="15" hidden="false" customHeight="false" outlineLevel="0" collapsed="false">
      <c r="A117" s="27" t="s">
        <v>1203</v>
      </c>
      <c r="B117" s="63" t="s">
        <v>1184</v>
      </c>
      <c r="C117" s="66" t="n">
        <f aca="false">P117</f>
        <v>0</v>
      </c>
      <c r="D117" s="66" t="n">
        <f aca="false">AB117</f>
        <v>0</v>
      </c>
      <c r="E117" s="67" t="n">
        <f aca="false">0+(E106-E109)*(1+Assumptions!$C$37)</f>
        <v>2805</v>
      </c>
      <c r="F117" s="67" t="n">
        <f aca="false">E117+(F106-F109)*(1+Assumptions!$C$37)</f>
        <v>5831.71875</v>
      </c>
      <c r="G117" s="67" t="n">
        <f aca="false">F117+(G106-G109)*(1+Assumptions!$C$37)</f>
        <v>8858.4375</v>
      </c>
      <c r="H117" s="67" t="n">
        <f aca="false">G117+(H106-H109)*(1+Assumptions!$C$37)</f>
        <v>11885.15625</v>
      </c>
      <c r="I117" s="67" t="n">
        <f aca="false">H117+(I106-I109)*(1+Assumptions!$C$37)</f>
        <v>14911.875</v>
      </c>
      <c r="J117" s="67" t="n">
        <f aca="false">I117+(J106-J109)*(1+Assumptions!$C$37)</f>
        <v>17938.59375</v>
      </c>
      <c r="K117" s="67" t="n">
        <f aca="false">J117+(K106-K109)*(1+Assumptions!$C$37)</f>
        <v>20965.3125</v>
      </c>
      <c r="L117" s="67" t="n">
        <f aca="false">K117+(L106-L109)*(1+Assumptions!$C$37)</f>
        <v>23992.03125</v>
      </c>
      <c r="M117" s="67" t="n">
        <f aca="false">L117+(M106-M109)*(1+Assumptions!$C$37)</f>
        <v>26993.52734375</v>
      </c>
      <c r="N117" s="67" t="n">
        <f aca="false">M117+(N106-N109)*(1+Assumptions!$C$37)</f>
        <v>29970.0109700521</v>
      </c>
      <c r="O117" s="67" t="n">
        <f aca="false">N117+(O106-O109)*(1+Assumptions!$C$37)</f>
        <v>-2976.9022523329</v>
      </c>
      <c r="P117" s="67" t="n">
        <f aca="false">O117+(P106-P109)*(1+Assumptions!$C$37)</f>
        <v>0</v>
      </c>
      <c r="Q117" s="67" t="n">
        <f aca="false">P117+(Q106-Q109)*(1+Assumptions!$C$37)</f>
        <v>3294.78537719213</v>
      </c>
      <c r="R117" s="67" t="n">
        <f aca="false">Q117+(R106-R109)*(1+Assumptions!$C$37)</f>
        <v>6587.66595390685</v>
      </c>
      <c r="S117" s="67" t="n">
        <f aca="false">R117+(S106-S109)*(1+Assumptions!$C$37)</f>
        <v>9878.65936262429</v>
      </c>
      <c r="T117" s="67" t="n">
        <f aca="false">S117+(T106-T109)*(1+Assumptions!$C$37)</f>
        <v>13169.684371079</v>
      </c>
      <c r="U117" s="67" t="n">
        <f aca="false">T117+(U106-U109)*(1+Assumptions!$C$37)</f>
        <v>16460.7248426026</v>
      </c>
      <c r="V117" s="67" t="n">
        <f aca="false">U117+(V106-V109)*(1+Assumptions!$C$37)</f>
        <v>19751.7649219361</v>
      </c>
      <c r="W117" s="67" t="n">
        <f aca="false">V117+(W106-W109)*(1+Assumptions!$C$37)</f>
        <v>23042.804875679</v>
      </c>
      <c r="X117" s="67" t="n">
        <f aca="false">W117+(X106-X109)*(1+Assumptions!$C$37)</f>
        <v>26333.8448337367</v>
      </c>
      <c r="Y117" s="67" t="n">
        <f aca="false">X117+(Y106-Y109)*(1+Assumptions!$C$37)</f>
        <v>29624.884792805</v>
      </c>
      <c r="Z117" s="67" t="n">
        <f aca="false">Y117+(Z106-Z109)*(1+Assumptions!$C$37)</f>
        <v>32915.9247518289</v>
      </c>
      <c r="AA117" s="67" t="n">
        <f aca="false">Z117+(AA106-AA109)*(1+Assumptions!$C$37)</f>
        <v>-3291.03995901589</v>
      </c>
      <c r="AB117" s="67" t="n">
        <f aca="false">AA117+(AB106-AB109)*(1+Assumptions!$C$37)</f>
        <v>0</v>
      </c>
    </row>
    <row r="118" customFormat="false" ht="15" hidden="false" customHeight="false" outlineLevel="0" collapsed="false">
      <c r="A118" s="27" t="s">
        <v>1204</v>
      </c>
      <c r="B118" s="63" t="s">
        <v>1186</v>
      </c>
      <c r="C118" s="66" t="n">
        <f aca="false">SUM(E118:P118)</f>
        <v>2087.05415085073</v>
      </c>
      <c r="D118" s="66" t="n">
        <f aca="false">SUM(Q118:AB118)</f>
        <v>0</v>
      </c>
      <c r="E118" s="76" t="n">
        <f aca="false">IF(E156=0,0,E159*E104/E156)</f>
        <v>0</v>
      </c>
      <c r="F118" s="76" t="n">
        <f aca="false">IF(F156=0,0,F159*F104/F156)</f>
        <v>0</v>
      </c>
      <c r="G118" s="76" t="n">
        <f aca="false">IF(G156=0,0,G159*G104/G156)</f>
        <v>0</v>
      </c>
      <c r="H118" s="76" t="n">
        <f aca="false">IF(H156=0,0,H159*H104/H156)</f>
        <v>0</v>
      </c>
      <c r="I118" s="76" t="n">
        <f aca="false">IF(I156=0,0,I159*I104/I156)</f>
        <v>0</v>
      </c>
      <c r="J118" s="76" t="n">
        <f aca="false">IF(J156=0,0,J159*J104/J156)</f>
        <v>0</v>
      </c>
      <c r="K118" s="76" t="n">
        <f aca="false">IF(K156=0,0,K159*K104/K156)</f>
        <v>0</v>
      </c>
      <c r="L118" s="76" t="n">
        <f aca="false">IF(L156=0,0,L159*L104/L156)</f>
        <v>0</v>
      </c>
      <c r="M118" s="76" t="n">
        <f aca="false">IF(M156=0,0,M159*M104/M156)</f>
        <v>0</v>
      </c>
      <c r="N118" s="76" t="n">
        <f aca="false">IF(N156=0,0,N159*N104/N156)</f>
        <v>0</v>
      </c>
      <c r="O118" s="76" t="n">
        <f aca="false">IF(O156=0,0,O159*O104/O156)</f>
        <v>0</v>
      </c>
      <c r="P118" s="76" t="n">
        <f aca="false">IF(P156=0,0,P159*P104/P156)</f>
        <v>2087.05415085073</v>
      </c>
      <c r="Q118" s="76" t="n">
        <f aca="false">IF(Q156=0,0,Q159*Q104/Q156)</f>
        <v>0</v>
      </c>
      <c r="R118" s="76" t="n">
        <f aca="false">IF(R156=0,0,R159*R104/R156)</f>
        <v>0</v>
      </c>
      <c r="S118" s="76" t="n">
        <f aca="false">IF(S156=0,0,S159*S104/S156)</f>
        <v>0</v>
      </c>
      <c r="T118" s="76" t="n">
        <f aca="false">IF(T156=0,0,T159*T104/T156)</f>
        <v>0</v>
      </c>
      <c r="U118" s="76" t="n">
        <f aca="false">IF(U156=0,0,U159*U104/U156)</f>
        <v>0</v>
      </c>
      <c r="V118" s="76" t="n">
        <f aca="false">IF(V156=0,0,V159*V104/V156)</f>
        <v>0</v>
      </c>
      <c r="W118" s="76" t="n">
        <f aca="false">IF(W156=0,0,W159*W104/W156)</f>
        <v>0</v>
      </c>
      <c r="X118" s="76" t="n">
        <f aca="false">IF(X156=0,0,X159*X104/X156)</f>
        <v>0</v>
      </c>
      <c r="Y118" s="76" t="n">
        <f aca="false">IF(Y156=0,0,Y159*Y104/Y156)</f>
        <v>0</v>
      </c>
      <c r="Z118" s="76" t="n">
        <f aca="false">IF(Z156=0,0,Z159*Z104/Z156)</f>
        <v>0</v>
      </c>
      <c r="AA118" s="76" t="n">
        <f aca="false">IF(AA156=0,0,AA159*AA104/AA156)</f>
        <v>0</v>
      </c>
      <c r="AB118" s="76" t="n">
        <f aca="false">IF(AB156=0,0,AB159*AB104/AB156)</f>
        <v>0</v>
      </c>
    </row>
    <row r="119" customFormat="false" ht="15" hidden="false" customHeight="false" outlineLevel="0" collapsed="false">
      <c r="A119" s="59" t="s">
        <v>1205</v>
      </c>
      <c r="B119" s="60" t="s">
        <v>1188</v>
      </c>
      <c r="C119" s="61" t="n">
        <f aca="false">SUM(E119:P119)</f>
        <v>543010.165247759</v>
      </c>
      <c r="D119" s="61" t="n">
        <f aca="false">SUM(Q119:AB119)</f>
        <v>594094.188411212</v>
      </c>
      <c r="E119" s="62" t="n">
        <f aca="false">(E104-E105+E106+E107)*(1+Assumptions!$C$37)+E114+E115+E118</f>
        <v>43812.6</v>
      </c>
      <c r="F119" s="62" t="n">
        <f aca="false">(F104-F105+F106+F107)*(1+Assumptions!$C$37)+F114+F115+F118</f>
        <v>46895.93</v>
      </c>
      <c r="G119" s="62" t="n">
        <f aca="false">(G104-G105+G106+G107)*(1+Assumptions!$C$37)+G114+G115+G118</f>
        <v>46895.93</v>
      </c>
      <c r="H119" s="62" t="n">
        <f aca="false">(H104-H105+H106+H107)*(1+Assumptions!$C$37)+H114+H115+H118</f>
        <v>45328.705</v>
      </c>
      <c r="I119" s="62" t="n">
        <f aca="false">(I104-I105+I106+I107)*(1+Assumptions!$C$37)+I114+I115+I118</f>
        <v>46504.12375</v>
      </c>
      <c r="J119" s="62" t="n">
        <f aca="false">(J104-J105+J106+J107)*(1+Assumptions!$C$37)+J114+J115+J118</f>
        <v>45328.705</v>
      </c>
      <c r="K119" s="62" t="n">
        <f aca="false">(K104-K105+K106+K107)*(1+Assumptions!$C$37)+K114+K115+K118</f>
        <v>43369.67375</v>
      </c>
      <c r="L119" s="62" t="n">
        <f aca="false">(L104-L105+L106+L107)*(1+Assumptions!$C$37)+L114+L115+L118</f>
        <v>40235.22375</v>
      </c>
      <c r="M119" s="62" t="n">
        <f aca="false">(M104-M105+M106+M107)*(1+Assumptions!$C$37)+M114+M115+M118</f>
        <v>45339.50203125</v>
      </c>
      <c r="N119" s="62" t="n">
        <f aca="false">(N104-N105+N106+N107)*(1+Assumptions!$C$37)+N114+N115+N118</f>
        <v>46117.5829114583</v>
      </c>
      <c r="O119" s="62" t="n">
        <f aca="false">(O104-O105+O106+O107)*(1+Assumptions!$C$37)+O114+O115+O118</f>
        <v>46509.4266409252</v>
      </c>
      <c r="P119" s="62" t="n">
        <f aca="false">(P104-P105+P106+P107)*(1+Assumptions!$C$37)+P114+P115+P118</f>
        <v>46672.7624141257</v>
      </c>
      <c r="Q119" s="62" t="n">
        <f aca="false">(Q104-Q105+Q106+Q107)*(1+Assumptions!$C$37)+Q114+Q115+Q118</f>
        <v>51401.8854837283</v>
      </c>
      <c r="R119" s="62" t="n">
        <f aca="false">(R104-R105+R106+R107)*(1+Assumptions!$C$37)+R114+R115+R118</f>
        <v>50946.6236817158</v>
      </c>
      <c r="S119" s="62" t="n">
        <f aca="false">(S104-S105+S106+S107)*(1+Assumptions!$C$37)+S114+S115+S118</f>
        <v>50917.3408020203</v>
      </c>
      <c r="T119" s="62" t="n">
        <f aca="false">(T104-T105+T106+T107)*(1+Assumptions!$C$37)+T114+T115+T118</f>
        <v>49216.9593734799</v>
      </c>
      <c r="U119" s="62" t="n">
        <f aca="false">(U104-U105+U106+U107)*(1+Assumptions!$C$37)+U114+U115+U118</f>
        <v>50492.8511237518</v>
      </c>
      <c r="V119" s="62" t="n">
        <f aca="false">(V104-V105+V106+V107)*(1+Assumptions!$C$37)+V114+V115+V118</f>
        <v>49217.1854111103</v>
      </c>
      <c r="W119" s="62" t="n">
        <f aca="false">(W104-W105+W106+W107)*(1+Assumptions!$C$37)+W114+W115+W118</f>
        <v>47091.0841456356</v>
      </c>
      <c r="X119" s="62" t="n">
        <f aca="false">(X104-X105+X106+X107)*(1+Assumptions!$C$37)+X114+X115+X118</f>
        <v>43689.3251921548</v>
      </c>
      <c r="Y119" s="62" t="n">
        <f aca="false">(Y104-Y105+Y106+Y107)*(1+Assumptions!$C$37)+Y114+Y115+Y118</f>
        <v>49642.4034843922</v>
      </c>
      <c r="Z119" s="62" t="n">
        <f aca="false">(Z104-Z105+Z106+Z107)*(1+Assumptions!$C$37)+Z114+Z115+Z118</f>
        <v>50918.0631148714</v>
      </c>
      <c r="AA119" s="62" t="n">
        <f aca="false">(AA104-AA105+AA106+AA107)*(1+Assumptions!$C$37)+AA114+AA115+AA118</f>
        <v>51343.2829917955</v>
      </c>
      <c r="AB119" s="62" t="n">
        <f aca="false">(AB104-AB105+AB106+AB107)*(1+Assumptions!$C$37)+AB114+AB115+AB118</f>
        <v>49217.1836065565</v>
      </c>
    </row>
    <row r="120" customFormat="false" ht="15" hidden="false" customHeight="false" outlineLevel="0" collapsed="false">
      <c r="A120" s="27" t="s">
        <v>1206</v>
      </c>
      <c r="B120" s="63"/>
      <c r="C120" s="74" t="n">
        <f aca="false">P120</f>
        <v>6.82932048339844</v>
      </c>
      <c r="D120" s="74" t="n">
        <f aca="false">AB120</f>
        <v>7.80487804877796</v>
      </c>
      <c r="E120" s="86" t="n">
        <f aca="false">E17+E18+E19+E20</f>
        <v>6</v>
      </c>
      <c r="F120" s="86" t="n">
        <f aca="false">F17+F18+F19+F20</f>
        <v>6</v>
      </c>
      <c r="G120" s="86" t="n">
        <f aca="false">G17+G18+G19+G20</f>
        <v>7</v>
      </c>
      <c r="H120" s="86" t="n">
        <f aca="false">H17+H18+H19+H20</f>
        <v>7</v>
      </c>
      <c r="I120" s="86" t="n">
        <f aca="false">I17+I18+I19+I20</f>
        <v>7</v>
      </c>
      <c r="J120" s="86" t="n">
        <f aca="false">J17+J18+J19+J20</f>
        <v>7</v>
      </c>
      <c r="K120" s="86" t="n">
        <f aca="false">K17+K18+K19+K20</f>
        <v>7</v>
      </c>
      <c r="L120" s="86" t="n">
        <f aca="false">L17+L18+L19+L20</f>
        <v>7</v>
      </c>
      <c r="M120" s="86" t="n">
        <f aca="false">M17+M18+M19+M20</f>
        <v>6.9125</v>
      </c>
      <c r="N120" s="86" t="n">
        <f aca="false">N17+N18+N19+N20</f>
        <v>6.82609375</v>
      </c>
      <c r="O120" s="86" t="n">
        <f aca="false">O17+O18+O19+O20</f>
        <v>6.828267578125</v>
      </c>
      <c r="P120" s="86" t="n">
        <f aca="false">P17+P18+P19+P20</f>
        <v>6.82932048339844</v>
      </c>
      <c r="Q120" s="86" t="n">
        <f aca="false">Q17+Q18+Q19+Q20</f>
        <v>7.82928014923096</v>
      </c>
      <c r="R120" s="86" t="n">
        <f aca="false">R17+R18+R19+R20</f>
        <v>7.81676749209213</v>
      </c>
      <c r="S120" s="86" t="n">
        <f aca="false">S17+S18+S19+S20</f>
        <v>7.80442440448346</v>
      </c>
      <c r="T120" s="86" t="n">
        <f aca="false">T17+T18+T19+T20</f>
        <v>7.8047351012928</v>
      </c>
      <c r="U120" s="86" t="n">
        <f aca="false">U17+U18+U19+U20</f>
        <v>7.8048855061778</v>
      </c>
      <c r="V120" s="86" t="n">
        <f aca="false">V17+V18+V19+V20</f>
        <v>7.80487974240662</v>
      </c>
      <c r="W120" s="86" t="n">
        <f aca="false">W17+W18+W19+W20</f>
        <v>7.80487793439269</v>
      </c>
      <c r="X120" s="86" t="n">
        <f aca="false">X17+X18+X19+X20</f>
        <v>7.80487802904001</v>
      </c>
      <c r="Y120" s="86" t="n">
        <f aca="false">Y17+Y18+Y19+Y20</f>
        <v>7.80487805045709</v>
      </c>
      <c r="Z120" s="86" t="n">
        <f aca="false">Z17+Z18+Z19+Z20</f>
        <v>7.80487804900629</v>
      </c>
      <c r="AA120" s="86" t="n">
        <f aca="false">AA17+AA18+AA19+AA20</f>
        <v>7.80487804875671</v>
      </c>
      <c r="AB120" s="86" t="n">
        <f aca="false">AB17+AB18+AB19+AB20</f>
        <v>7.80487804877796</v>
      </c>
    </row>
    <row r="121" customFormat="false" ht="15" hidden="false" customHeight="false" outlineLevel="0" collapsed="false">
      <c r="A121" s="27" t="s">
        <v>1207</v>
      </c>
      <c r="B121" s="63" t="s">
        <v>1159</v>
      </c>
      <c r="C121" s="66" t="n">
        <f aca="false">SUM(E121:P121)</f>
        <v>186619.844140625</v>
      </c>
      <c r="D121" s="66" t="n">
        <f aca="false">SUM(Q121:AB121)</f>
        <v>217127.211933133</v>
      </c>
      <c r="E121" s="67" t="n">
        <f aca="false">IF(E$5="A",Inputs_Actuals!E203,E59+E60+E61+E62)</f>
        <v>14000</v>
      </c>
      <c r="F121" s="67" t="n">
        <f aca="false">IF(F$5="A",Inputs_Actuals!F203,F59+F60+F61+F62)</f>
        <v>14000</v>
      </c>
      <c r="G121" s="67" t="n">
        <f aca="false">IF(G$5="A",Inputs_Actuals!G203,G59+G60+G61+G62)</f>
        <v>16000</v>
      </c>
      <c r="H121" s="67" t="n">
        <f aca="false">IF(H$5="A",Inputs_Actuals!H203,H59+H60+H61+H62)</f>
        <v>16000</v>
      </c>
      <c r="I121" s="67" t="n">
        <f aca="false">IF(I$5="A",Inputs_Actuals!I203,I59+I60+I61+I62)</f>
        <v>16000</v>
      </c>
      <c r="J121" s="67" t="n">
        <f aca="false">IF(J$5="A",Inputs_Actuals!J203,J59+J60+J61+J62)</f>
        <v>16000</v>
      </c>
      <c r="K121" s="67" t="n">
        <f aca="false">IF(K$5="A",Inputs_Actuals!K203,K59+K60+K61+K62)</f>
        <v>16000</v>
      </c>
      <c r="L121" s="67" t="n">
        <f aca="false">IF(L$5="A",Inputs_Actuals!L203,L59+L60+L61+L62)</f>
        <v>16000</v>
      </c>
      <c r="M121" s="67" t="n">
        <f aca="false">IF(M$5="A",Inputs_Actuals!M203,M59+M60+M61+M62)</f>
        <v>15800</v>
      </c>
      <c r="N121" s="67" t="n">
        <f aca="false">IF(N$5="A",Inputs_Actuals!N203,N59+N60+N61+N62)</f>
        <v>15602.5</v>
      </c>
      <c r="O121" s="67" t="n">
        <f aca="false">IF(O$5="A",Inputs_Actuals!O203,O59+O60+O61+O62)</f>
        <v>15607.46875</v>
      </c>
      <c r="P121" s="67" t="n">
        <f aca="false">IF(P$5="A",Inputs_Actuals!P203,P59+P60+P61+P62)</f>
        <v>15609.875390625</v>
      </c>
      <c r="Q121" s="67" t="n">
        <f aca="false">IF(Q$5="A",Inputs_Actuals!Q203,Q59+Q60+Q61+Q62)</f>
        <v>18138.0766941895</v>
      </c>
      <c r="R121" s="67" t="n">
        <f aca="false">IF(R$5="A",Inputs_Actuals!R203,R59+R60+R61+R62)</f>
        <v>18112.2968956683</v>
      </c>
      <c r="S121" s="67" t="n">
        <f aca="false">IF(S$5="A",Inputs_Actuals!S203,S59+S60+S61+S62)</f>
        <v>18086.8703301268</v>
      </c>
      <c r="T121" s="67" t="n">
        <f aca="false">IF(T$5="A",Inputs_Actuals!T203,T59+T60+T61+T62)</f>
        <v>18087.5104096776</v>
      </c>
      <c r="U121" s="67" t="n">
        <f aca="false">IF(U$5="A",Inputs_Actuals!U203,U59+U60+U61+U62)</f>
        <v>18087.8202407524</v>
      </c>
      <c r="V121" s="67" t="n">
        <f aca="false">IF(V$5="A",Inputs_Actuals!V203,V59+V60+V61+V62)</f>
        <v>18087.8083668696</v>
      </c>
      <c r="W121" s="67" t="n">
        <f aca="false">IF(W$5="A",Inputs_Actuals!W203,W59+W60+W61+W62)</f>
        <v>18087.8046424047</v>
      </c>
      <c r="X121" s="67" t="n">
        <f aca="false">IF(X$5="A",Inputs_Actuals!X203,X59+X60+X61+X62)</f>
        <v>18087.8048373841</v>
      </c>
      <c r="Y121" s="67" t="n">
        <f aca="false">IF(Y$5="A",Inputs_Actuals!Y203,Y59+Y60+Y61+Y62)</f>
        <v>18087.8048815026</v>
      </c>
      <c r="Z121" s="67" t="n">
        <f aca="false">IF(Z$5="A",Inputs_Actuals!Z203,Z59+Z60+Z61+Z62)</f>
        <v>18087.8048785139</v>
      </c>
      <c r="AA121" s="67" t="n">
        <f aca="false">IF(AA$5="A",Inputs_Actuals!AA203,AA59+AA60+AA61+AA62)</f>
        <v>18087.8048779998</v>
      </c>
      <c r="AB121" s="67" t="n">
        <f aca="false">IF(AB$5="A",Inputs_Actuals!AB203,AB59+AB60+AB61+AB62)</f>
        <v>18087.8048780436</v>
      </c>
    </row>
    <row r="122" customFormat="false" ht="15" hidden="false" customHeight="false" outlineLevel="0" collapsed="false">
      <c r="A122" s="27" t="s">
        <v>1208</v>
      </c>
      <c r="B122" s="63" t="s">
        <v>1161</v>
      </c>
      <c r="C122" s="66" t="n">
        <f aca="false">SUM(E122:P122)</f>
        <v>15733.3125351563</v>
      </c>
      <c r="D122" s="66" t="n">
        <f aca="false">SUM(Q122:AB122)</f>
        <v>18090.9683161427</v>
      </c>
      <c r="E122" s="67" t="n">
        <f aca="false">E121*Assumptions!E$214</f>
        <v>560</v>
      </c>
      <c r="F122" s="67" t="n">
        <f aca="false">F121*Assumptions!F$214</f>
        <v>700</v>
      </c>
      <c r="G122" s="67" t="n">
        <f aca="false">G121*Assumptions!G$214</f>
        <v>800</v>
      </c>
      <c r="H122" s="67" t="n">
        <f aca="false">H121*Assumptions!H$214</f>
        <v>1440</v>
      </c>
      <c r="I122" s="67" t="n">
        <f aca="false">I121*Assumptions!I$214</f>
        <v>960</v>
      </c>
      <c r="J122" s="67" t="n">
        <f aca="false">J121*Assumptions!J$214</f>
        <v>1440</v>
      </c>
      <c r="K122" s="67" t="n">
        <f aca="false">K121*Assumptions!K$214</f>
        <v>2240</v>
      </c>
      <c r="L122" s="67" t="n">
        <f aca="false">L121*Assumptions!L$214</f>
        <v>3520</v>
      </c>
      <c r="M122" s="67" t="n">
        <f aca="false">M121*Assumptions!M$214</f>
        <v>1264</v>
      </c>
      <c r="N122" s="67" t="n">
        <f aca="false">N121*Assumptions!N$214</f>
        <v>780.125</v>
      </c>
      <c r="O122" s="67" t="n">
        <f aca="false">O121*Assumptions!O$214</f>
        <v>624.29875</v>
      </c>
      <c r="P122" s="67" t="n">
        <f aca="false">P121*Assumptions!P$214</f>
        <v>1404.88878515625</v>
      </c>
      <c r="Q122" s="67" t="n">
        <f aca="false">Q121*Assumptions!Q$214</f>
        <v>725.523067767578</v>
      </c>
      <c r="R122" s="67" t="n">
        <f aca="false">R121*Assumptions!R$214</f>
        <v>905.614844783417</v>
      </c>
      <c r="S122" s="67" t="n">
        <f aca="false">S121*Assumptions!S$214</f>
        <v>904.343516506339</v>
      </c>
      <c r="T122" s="67" t="n">
        <f aca="false">T121*Assumptions!T$214</f>
        <v>1627.87593687098</v>
      </c>
      <c r="U122" s="67" t="n">
        <f aca="false">U121*Assumptions!U$214</f>
        <v>1085.26921444515</v>
      </c>
      <c r="V122" s="67" t="n">
        <f aca="false">V121*Assumptions!V$214</f>
        <v>1627.90275301827</v>
      </c>
      <c r="W122" s="67" t="n">
        <f aca="false">W121*Assumptions!W$214</f>
        <v>2532.29264993666</v>
      </c>
      <c r="X122" s="67" t="n">
        <f aca="false">X121*Assumptions!X$214</f>
        <v>3979.3170642245</v>
      </c>
      <c r="Y122" s="67" t="n">
        <f aca="false">Y121*Assumptions!Y$214</f>
        <v>1447.02439052021</v>
      </c>
      <c r="Z122" s="67" t="n">
        <f aca="false">Z121*Assumptions!Z$214</f>
        <v>904.390243925696</v>
      </c>
      <c r="AA122" s="67" t="n">
        <f aca="false">AA121*Assumptions!AA$214</f>
        <v>723.512195119992</v>
      </c>
      <c r="AB122" s="67" t="n">
        <f aca="false">AB121*Assumptions!AB$214</f>
        <v>1627.90243902392</v>
      </c>
    </row>
    <row r="123" customFormat="false" ht="15" hidden="false" customHeight="false" outlineLevel="0" collapsed="false">
      <c r="A123" s="27" t="s">
        <v>1209</v>
      </c>
      <c r="B123" s="63" t="s">
        <v>1163</v>
      </c>
      <c r="C123" s="66" t="n">
        <f aca="false">SUM(E123:P123)</f>
        <v>15551.6536783854</v>
      </c>
      <c r="D123" s="66" t="n">
        <f aca="false">SUM(Q123:AB123)</f>
        <v>18093.9343277611</v>
      </c>
      <c r="E123" s="76" t="n">
        <f aca="false">E121/12</f>
        <v>1166.66666666667</v>
      </c>
      <c r="F123" s="76" t="n">
        <f aca="false">F121/12</f>
        <v>1166.66666666667</v>
      </c>
      <c r="G123" s="76" t="n">
        <f aca="false">G121/12</f>
        <v>1333.33333333333</v>
      </c>
      <c r="H123" s="76" t="n">
        <f aca="false">H121/12</f>
        <v>1333.33333333333</v>
      </c>
      <c r="I123" s="76" t="n">
        <f aca="false">I121/12</f>
        <v>1333.33333333333</v>
      </c>
      <c r="J123" s="76" t="n">
        <f aca="false">J121/12</f>
        <v>1333.33333333333</v>
      </c>
      <c r="K123" s="76" t="n">
        <f aca="false">K121/12</f>
        <v>1333.33333333333</v>
      </c>
      <c r="L123" s="76" t="n">
        <f aca="false">L121/12</f>
        <v>1333.33333333333</v>
      </c>
      <c r="M123" s="76" t="n">
        <f aca="false">M121/12</f>
        <v>1316.66666666667</v>
      </c>
      <c r="N123" s="76" t="n">
        <f aca="false">N121/12</f>
        <v>1300.20833333333</v>
      </c>
      <c r="O123" s="76" t="n">
        <f aca="false">O121/12</f>
        <v>1300.62239583333</v>
      </c>
      <c r="P123" s="76" t="n">
        <f aca="false">P121/12</f>
        <v>1300.82294921875</v>
      </c>
      <c r="Q123" s="76" t="n">
        <f aca="false">Q121/12</f>
        <v>1511.50639118245</v>
      </c>
      <c r="R123" s="76" t="n">
        <f aca="false">R121/12</f>
        <v>1509.35807463903</v>
      </c>
      <c r="S123" s="76" t="n">
        <f aca="false">S121/12</f>
        <v>1507.23919417723</v>
      </c>
      <c r="T123" s="76" t="n">
        <f aca="false">T121/12</f>
        <v>1507.2925341398</v>
      </c>
      <c r="U123" s="76" t="n">
        <f aca="false">U121/12</f>
        <v>1507.31835339604</v>
      </c>
      <c r="V123" s="76" t="n">
        <f aca="false">V121/12</f>
        <v>1507.3173639058</v>
      </c>
      <c r="W123" s="76" t="n">
        <f aca="false">W121/12</f>
        <v>1507.31705353373</v>
      </c>
      <c r="X123" s="76" t="n">
        <f aca="false">X121/12</f>
        <v>1507.31706978201</v>
      </c>
      <c r="Y123" s="76" t="n">
        <f aca="false">Y121/12</f>
        <v>1507.31707345855</v>
      </c>
      <c r="Z123" s="76" t="n">
        <f aca="false">Z121/12</f>
        <v>1507.31707320949</v>
      </c>
      <c r="AA123" s="76" t="n">
        <f aca="false">AA121/12</f>
        <v>1507.31707316665</v>
      </c>
      <c r="AB123" s="76" t="n">
        <f aca="false">AB121/12</f>
        <v>1507.3170731703</v>
      </c>
    </row>
    <row r="124" customFormat="false" ht="15" hidden="false" customHeight="false" outlineLevel="0" collapsed="false">
      <c r="A124" s="27" t="s">
        <v>1210</v>
      </c>
      <c r="B124" s="63" t="s">
        <v>1165</v>
      </c>
      <c r="C124" s="66" t="n">
        <f aca="false">SUM(E124:P124)</f>
        <v>31103.3073567708</v>
      </c>
      <c r="D124" s="66" t="n">
        <f aca="false">SUM(Q124:AB124)</f>
        <v>36187.8686555222</v>
      </c>
      <c r="E124" s="76" t="n">
        <f aca="false">E121*2/12</f>
        <v>2333.33333333333</v>
      </c>
      <c r="F124" s="76" t="n">
        <f aca="false">F121*2/12</f>
        <v>2333.33333333333</v>
      </c>
      <c r="G124" s="76" t="n">
        <f aca="false">G121*2/12</f>
        <v>2666.66666666667</v>
      </c>
      <c r="H124" s="76" t="n">
        <f aca="false">H121*2/12</f>
        <v>2666.66666666667</v>
      </c>
      <c r="I124" s="76" t="n">
        <f aca="false">I121*2/12</f>
        <v>2666.66666666667</v>
      </c>
      <c r="J124" s="76" t="n">
        <f aca="false">J121*2/12</f>
        <v>2666.66666666667</v>
      </c>
      <c r="K124" s="76" t="n">
        <f aca="false">K121*2/12</f>
        <v>2666.66666666667</v>
      </c>
      <c r="L124" s="76" t="n">
        <f aca="false">L121*2/12</f>
        <v>2666.66666666667</v>
      </c>
      <c r="M124" s="76" t="n">
        <f aca="false">M121*2/12</f>
        <v>2633.33333333333</v>
      </c>
      <c r="N124" s="76" t="n">
        <f aca="false">N121*2/12</f>
        <v>2600.41666666667</v>
      </c>
      <c r="O124" s="76" t="n">
        <f aca="false">O121*2/12</f>
        <v>2601.24479166667</v>
      </c>
      <c r="P124" s="76" t="n">
        <f aca="false">P121*2/12</f>
        <v>2601.6458984375</v>
      </c>
      <c r="Q124" s="76" t="n">
        <f aca="false">Q121*2/12</f>
        <v>3023.01278236491</v>
      </c>
      <c r="R124" s="76" t="n">
        <f aca="false">R121*2/12</f>
        <v>3018.71614927806</v>
      </c>
      <c r="S124" s="76" t="n">
        <f aca="false">S121*2/12</f>
        <v>3014.47838835446</v>
      </c>
      <c r="T124" s="76" t="n">
        <f aca="false">T121*2/12</f>
        <v>3014.58506827959</v>
      </c>
      <c r="U124" s="76" t="n">
        <f aca="false">U121*2/12</f>
        <v>3014.63670679207</v>
      </c>
      <c r="V124" s="76" t="n">
        <f aca="false">V121*2/12</f>
        <v>3014.6347278116</v>
      </c>
      <c r="W124" s="76" t="n">
        <f aca="false">W121*2/12</f>
        <v>3014.63410706745</v>
      </c>
      <c r="X124" s="76" t="n">
        <f aca="false">X121*2/12</f>
        <v>3014.63413956401</v>
      </c>
      <c r="Y124" s="76" t="n">
        <f aca="false">Y121*2/12</f>
        <v>3014.63414691711</v>
      </c>
      <c r="Z124" s="76" t="n">
        <f aca="false">Z121*2/12</f>
        <v>3014.63414641899</v>
      </c>
      <c r="AA124" s="76" t="n">
        <f aca="false">AA121*2/12</f>
        <v>3014.6341463333</v>
      </c>
      <c r="AB124" s="76" t="n">
        <f aca="false">AB121*2/12</f>
        <v>3014.6341463406</v>
      </c>
    </row>
    <row r="125" customFormat="false" ht="15" hidden="false" customHeight="false" outlineLevel="0" collapsed="false">
      <c r="A125" s="27" t="s">
        <v>1211</v>
      </c>
      <c r="B125" s="63" t="s">
        <v>1167</v>
      </c>
      <c r="C125" s="66" t="n">
        <f aca="false">SUM(E125:P125)</f>
        <v>16000</v>
      </c>
      <c r="D125" s="66" t="n">
        <f aca="false">SUM(Q125:AB125)</f>
        <v>18087.8083668696</v>
      </c>
      <c r="E125" s="67" t="n">
        <f aca="false">IF(E$5="A",Inputs_Actuals!E204,IF(Assumptions!E$204=6,E121,0))</f>
        <v>0</v>
      </c>
      <c r="F125" s="67" t="n">
        <f aca="false">IF(F$5="A",Inputs_Actuals!F204,IF(Assumptions!F$204=6,F121,0))</f>
        <v>0</v>
      </c>
      <c r="G125" s="67" t="n">
        <f aca="false">IF(G$5="A",Inputs_Actuals!G204,IF(Assumptions!G$204=6,G121,0))</f>
        <v>0</v>
      </c>
      <c r="H125" s="67" t="n">
        <f aca="false">IF(H$5="A",Inputs_Actuals!H204,IF(Assumptions!H$204=6,H121,0))</f>
        <v>0</v>
      </c>
      <c r="I125" s="67" t="n">
        <f aca="false">IF(I$5="A",Inputs_Actuals!I204,IF(Assumptions!I$204=6,I121,0))</f>
        <v>0</v>
      </c>
      <c r="J125" s="67" t="n">
        <f aca="false">IF(J$5="A",Inputs_Actuals!J204,IF(Assumptions!J$204=6,J121,0))</f>
        <v>16000</v>
      </c>
      <c r="K125" s="67" t="n">
        <f aca="false">IF(K$5="A",Inputs_Actuals!K204,IF(Assumptions!K$204=6,K121,0))</f>
        <v>0</v>
      </c>
      <c r="L125" s="67" t="n">
        <f aca="false">IF(L$5="A",Inputs_Actuals!L204,IF(Assumptions!L$204=6,L121,0))</f>
        <v>0</v>
      </c>
      <c r="M125" s="67" t="n">
        <f aca="false">IF(M$5="A",Inputs_Actuals!M204,IF(Assumptions!M$204=6,M121,0))</f>
        <v>0</v>
      </c>
      <c r="N125" s="67" t="n">
        <f aca="false">IF(N$5="A",Inputs_Actuals!N204,IF(Assumptions!N$204=6,N121,0))</f>
        <v>0</v>
      </c>
      <c r="O125" s="67" t="n">
        <f aca="false">IF(O$5="A",Inputs_Actuals!O204,IF(Assumptions!O$204=6,O121,0))</f>
        <v>0</v>
      </c>
      <c r="P125" s="67" t="n">
        <f aca="false">IF(P$5="A",Inputs_Actuals!P204,IF(Assumptions!P$204=6,P121,0))</f>
        <v>0</v>
      </c>
      <c r="Q125" s="67" t="n">
        <f aca="false">IF(Q$5="A",Inputs_Actuals!Q204,IF(Assumptions!Q$204=6,Q121,0))</f>
        <v>0</v>
      </c>
      <c r="R125" s="67" t="n">
        <f aca="false">IF(R$5="A",Inputs_Actuals!R204,IF(Assumptions!R$204=6,R121,0))</f>
        <v>0</v>
      </c>
      <c r="S125" s="67" t="n">
        <f aca="false">IF(S$5="A",Inputs_Actuals!S204,IF(Assumptions!S$204=6,S121,0))</f>
        <v>0</v>
      </c>
      <c r="T125" s="67" t="n">
        <f aca="false">IF(T$5="A",Inputs_Actuals!T204,IF(Assumptions!T$204=6,T121,0))</f>
        <v>0</v>
      </c>
      <c r="U125" s="67" t="n">
        <f aca="false">IF(U$5="A",Inputs_Actuals!U204,IF(Assumptions!U$204=6,U121,0))</f>
        <v>0</v>
      </c>
      <c r="V125" s="67" t="n">
        <f aca="false">IF(V$5="A",Inputs_Actuals!V204,IF(Assumptions!V$204=6,V121,0))</f>
        <v>18087.8083668696</v>
      </c>
      <c r="W125" s="67" t="n">
        <f aca="false">IF(W$5="A",Inputs_Actuals!W204,IF(Assumptions!W$204=6,W121,0))</f>
        <v>0</v>
      </c>
      <c r="X125" s="67" t="n">
        <f aca="false">IF(X$5="A",Inputs_Actuals!X204,IF(Assumptions!X$204=6,X121,0))</f>
        <v>0</v>
      </c>
      <c r="Y125" s="67" t="n">
        <f aca="false">IF(Y$5="A",Inputs_Actuals!Y204,IF(Assumptions!Y$204=6,Y121,0))</f>
        <v>0</v>
      </c>
      <c r="Z125" s="67" t="n">
        <f aca="false">IF(Z$5="A",Inputs_Actuals!Z204,IF(Assumptions!Z$204=6,Z121,0))</f>
        <v>0</v>
      </c>
      <c r="AA125" s="67" t="n">
        <f aca="false">IF(AA$5="A",Inputs_Actuals!AA204,IF(Assumptions!AA$204=6,AA121,0))</f>
        <v>0</v>
      </c>
      <c r="AB125" s="67" t="n">
        <f aca="false">IF(AB$5="A",Inputs_Actuals!AB204,IF(Assumptions!AB$204=6,AB121,0))</f>
        <v>0</v>
      </c>
    </row>
    <row r="126" customFormat="false" ht="15" hidden="false" customHeight="false" outlineLevel="0" collapsed="false">
      <c r="A126" s="27" t="s">
        <v>1212</v>
      </c>
      <c r="B126" s="63" t="s">
        <v>1169</v>
      </c>
      <c r="C126" s="66" t="n">
        <f aca="false">SUM(E126:P126)</f>
        <v>15551.6536783854</v>
      </c>
      <c r="D126" s="66" t="n">
        <f aca="false">SUM(Q126:AB126)</f>
        <v>18093.9343277611</v>
      </c>
      <c r="E126" s="67" t="n">
        <f aca="false">IF(E$5="A",Inputs_Actuals!E205,IF(Assumptions!E$204=11,0/(1+Assumptions!$C$37)+2*E123,IF(Assumptions!E$204=12,0/(1+Assumptions!$C$37)+E123,0)))</f>
        <v>0</v>
      </c>
      <c r="F126" s="67" t="n">
        <f aca="false">IF(F$5="A",Inputs_Actuals!F205,IF(Assumptions!F$204=11,E135/(1+Assumptions!$C$37)+2*F123,IF(Assumptions!F$204=12,E135/(1+Assumptions!$C$37)+F123,0)))</f>
        <v>0</v>
      </c>
      <c r="G126" s="67" t="n">
        <f aca="false">IF(G$5="A",Inputs_Actuals!G205,IF(Assumptions!G$204=11,F135/(1+Assumptions!$C$37)+2*G123,IF(Assumptions!G$204=12,F135/(1+Assumptions!$C$37)+G123,0)))</f>
        <v>0</v>
      </c>
      <c r="H126" s="67" t="n">
        <f aca="false">IF(H$5="A",Inputs_Actuals!H205,IF(Assumptions!H$204=11,G135/(1+Assumptions!$C$37)+2*H123,IF(Assumptions!H$204=12,G135/(1+Assumptions!$C$37)+H123,0)))</f>
        <v>0</v>
      </c>
      <c r="I126" s="67" t="n">
        <f aca="false">IF(I$5="A",Inputs_Actuals!I205,IF(Assumptions!I$204=11,H135/(1+Assumptions!$C$37)+2*I123,IF(Assumptions!I$204=12,H135/(1+Assumptions!$C$37)+I123,0)))</f>
        <v>0</v>
      </c>
      <c r="J126" s="67" t="n">
        <f aca="false">IF(J$5="A",Inputs_Actuals!J205,IF(Assumptions!J$204=11,I135/(1+Assumptions!$C$37)+2*J123,IF(Assumptions!J$204=12,I135/(1+Assumptions!$C$37)+J123,0)))</f>
        <v>0</v>
      </c>
      <c r="K126" s="67" t="n">
        <f aca="false">IF(K$5="A",Inputs_Actuals!K205,IF(Assumptions!K$204=11,J135/(1+Assumptions!$C$37)+2*K123,IF(Assumptions!K$204=12,J135/(1+Assumptions!$C$37)+K123,0)))</f>
        <v>0</v>
      </c>
      <c r="L126" s="67" t="n">
        <f aca="false">IF(L$5="A",Inputs_Actuals!L205,IF(Assumptions!L$204=11,K135/(1+Assumptions!$C$37)+2*L123,IF(Assumptions!L$204=12,K135/(1+Assumptions!$C$37)+L123,0)))</f>
        <v>0</v>
      </c>
      <c r="M126" s="67" t="n">
        <f aca="false">IF(M$5="A",Inputs_Actuals!M205,IF(Assumptions!M$204=11,L135/(1+Assumptions!$C$37)+2*M123,IF(Assumptions!M$204=12,L135/(1+Assumptions!$C$37)+M123,0)))</f>
        <v>0</v>
      </c>
      <c r="N126" s="67" t="n">
        <f aca="false">IF(N$5="A",Inputs_Actuals!N205,IF(Assumptions!N$204=11,M135/(1+Assumptions!$C$37)+2*N123,IF(Assumptions!N$204=12,M135/(1+Assumptions!$C$37)+N123,0)))</f>
        <v>0</v>
      </c>
      <c r="O126" s="67" t="n">
        <f aca="false">IF(O$5="A",Inputs_Actuals!O205,IF(Assumptions!O$204=11,N135/(1+Assumptions!$C$37)+2*O123,IF(Assumptions!O$204=12,N135/(1+Assumptions!$C$37)+O123,0)))</f>
        <v>15551.453125</v>
      </c>
      <c r="P126" s="67" t="n">
        <f aca="false">IF(P$5="A",Inputs_Actuals!P205,IF(Assumptions!P$204=11,O135/(1+Assumptions!$C$37)+2*P123,IF(Assumptions!P$204=12,O135/(1+Assumptions!$C$37)+P123,0)))</f>
        <v>0.200553385417152</v>
      </c>
      <c r="Q126" s="67" t="n">
        <f aca="false">IF(Q$5="A",Inputs_Actuals!Q205,IF(Assumptions!Q$204=11,P135/(1+Assumptions!$C$37)+2*Q123,IF(Assumptions!Q$204=12,P135/(1+Assumptions!$C$37)+Q123,0)))</f>
        <v>0</v>
      </c>
      <c r="R126" s="67" t="n">
        <f aca="false">IF(R$5="A",Inputs_Actuals!R205,IF(Assumptions!R$204=11,Q135/(1+Assumptions!$C$37)+2*R123,IF(Assumptions!R$204=12,Q135/(1+Assumptions!$C$37)+R123,0)))</f>
        <v>0</v>
      </c>
      <c r="S126" s="67" t="n">
        <f aca="false">IF(S$5="A",Inputs_Actuals!S205,IF(Assumptions!S$204=11,R135/(1+Assumptions!$C$37)+2*S123,IF(Assumptions!S$204=12,R135/(1+Assumptions!$C$37)+S123,0)))</f>
        <v>0</v>
      </c>
      <c r="T126" s="67" t="n">
        <f aca="false">IF(T$5="A",Inputs_Actuals!T205,IF(Assumptions!T$204=11,S135/(1+Assumptions!$C$37)+2*T123,IF(Assumptions!T$204=12,S135/(1+Assumptions!$C$37)+T123,0)))</f>
        <v>0</v>
      </c>
      <c r="U126" s="67" t="n">
        <f aca="false">IF(U$5="A",Inputs_Actuals!U205,IF(Assumptions!U$204=11,T135/(1+Assumptions!$C$37)+2*U123,IF(Assumptions!U$204=12,T135/(1+Assumptions!$C$37)+U123,0)))</f>
        <v>0</v>
      </c>
      <c r="V126" s="67" t="n">
        <f aca="false">IF(V$5="A",Inputs_Actuals!V205,IF(Assumptions!V$204=11,U135/(1+Assumptions!$C$37)+2*V123,IF(Assumptions!V$204=12,U135/(1+Assumptions!$C$37)+V123,0)))</f>
        <v>0</v>
      </c>
      <c r="W126" s="67" t="n">
        <f aca="false">IF(W$5="A",Inputs_Actuals!W205,IF(Assumptions!W$204=11,V135/(1+Assumptions!$C$37)+2*W123,IF(Assumptions!W$204=12,V135/(1+Assumptions!$C$37)+W123,0)))</f>
        <v>0</v>
      </c>
      <c r="X126" s="67" t="n">
        <f aca="false">IF(X$5="A",Inputs_Actuals!X205,IF(Assumptions!X$204=11,W135/(1+Assumptions!$C$37)+2*X123,IF(Assumptions!X$204=12,W135/(1+Assumptions!$C$37)+X123,0)))</f>
        <v>0</v>
      </c>
      <c r="Y126" s="67" t="n">
        <f aca="false">IF(Y$5="A",Inputs_Actuals!Y205,IF(Assumptions!Y$204=11,X135/(1+Assumptions!$C$37)+2*Y123,IF(Assumptions!Y$204=12,X135/(1+Assumptions!$C$37)+Y123,0)))</f>
        <v>0</v>
      </c>
      <c r="Z126" s="67" t="n">
        <f aca="false">IF(Z$5="A",Inputs_Actuals!Z205,IF(Assumptions!Z$204=11,Y135/(1+Assumptions!$C$37)+2*Z123,IF(Assumptions!Z$204=12,Y135/(1+Assumptions!$C$37)+Z123,0)))</f>
        <v>0</v>
      </c>
      <c r="AA126" s="67" t="n">
        <f aca="false">IF(AA$5="A",Inputs_Actuals!AA205,IF(Assumptions!AA$204=11,Z135/(1+Assumptions!$C$37)+2*AA123,IF(Assumptions!AA$204=12,Z135/(1+Assumptions!$C$37)+AA123,0)))</f>
        <v>18093.9343277574</v>
      </c>
      <c r="AB126" s="67" t="n">
        <f aca="false">IF(AB$5="A",Inputs_Actuals!AB205,IF(Assumptions!AB$204=11,AA135/(1+Assumptions!$C$37)+2*AB123,IF(Assumptions!AB$204=12,AA135/(1+Assumptions!$C$37)+AB123,0)))</f>
        <v>3.64980223821476E-009</v>
      </c>
    </row>
    <row r="127" customFormat="false" ht="15" hidden="false" customHeight="false" outlineLevel="0" collapsed="false">
      <c r="A127" s="27" t="s">
        <v>1213</v>
      </c>
      <c r="B127" s="63" t="s">
        <v>1214</v>
      </c>
      <c r="C127" s="66" t="n">
        <f aca="false">SUM(E127:P127)</f>
        <v>31705.5516</v>
      </c>
      <c r="D127" s="66" t="n">
        <f aca="false">SUM(Q127:AB127)</f>
        <v>16880.964</v>
      </c>
      <c r="E127" s="67" t="n">
        <f aca="false">IF(E$5="A",Inputs_Actuals!E206,Inputs_Actuals!$C$305/(1+Assumptions!$C$37))</f>
        <v>1104.84</v>
      </c>
      <c r="F127" s="67" t="n">
        <f aca="false">IF(F$5="A",Inputs_Actuals!F206,E164)</f>
        <v>730.98</v>
      </c>
      <c r="G127" s="67" t="n">
        <f aca="false">IF(G$5="A",Inputs_Actuals!G206,F164)</f>
        <v>762.39</v>
      </c>
      <c r="H127" s="67" t="n">
        <f aca="false">IF(H$5="A",Inputs_Actuals!H206,G164)</f>
        <v>4644.48</v>
      </c>
      <c r="I127" s="67" t="n">
        <f aca="false">IF(I$5="A",Inputs_Actuals!I206,H164)</f>
        <v>765.81</v>
      </c>
      <c r="J127" s="67" t="n">
        <f aca="false">IF(J$5="A",Inputs_Actuals!J206,I164)</f>
        <v>3870.36</v>
      </c>
      <c r="K127" s="67" t="n">
        <f aca="false">IF(K$5="A",Inputs_Actuals!K206,J164)</f>
        <v>899.64</v>
      </c>
      <c r="L127" s="67" t="n">
        <f aca="false">IF(L$5="A",Inputs_Actuals!L206,K164)</f>
        <v>5366.4</v>
      </c>
      <c r="M127" s="67" t="n">
        <f aca="false">IF(M$5="A",Inputs_Actuals!M206,L164)</f>
        <v>461.01</v>
      </c>
      <c r="N127" s="67" t="n">
        <f aca="false">IF(N$5="A",Inputs_Actuals!N206,M164)</f>
        <v>942.4896</v>
      </c>
      <c r="O127" s="67" t="n">
        <f aca="false">IF(O$5="A",Inputs_Actuals!O206,N164)</f>
        <v>1022.3616</v>
      </c>
      <c r="P127" s="67" t="n">
        <f aca="false">IF(P$5="A",Inputs_Actuals!P206,O164)</f>
        <v>11134.7904</v>
      </c>
      <c r="Q127" s="67" t="n">
        <f aca="false">IF(Q$5="A",Inputs_Actuals!Q206,P164)</f>
        <v>782.7456</v>
      </c>
      <c r="R127" s="67" t="n">
        <f aca="false">IF(R$5="A",Inputs_Actuals!R206,Q164)</f>
        <v>3381.2736</v>
      </c>
      <c r="S127" s="67" t="n">
        <f aca="false">IF(S$5="A",Inputs_Actuals!S206,R164)</f>
        <v>3529.3224</v>
      </c>
      <c r="T127" s="67" t="n">
        <f aca="false">IF(T$5="A",Inputs_Actuals!T206,S164)</f>
        <v>838.656</v>
      </c>
      <c r="U127" s="67" t="n">
        <f aca="false">IF(U$5="A",Inputs_Actuals!U206,T164)</f>
        <v>2622.144</v>
      </c>
      <c r="V127" s="67" t="n">
        <f aca="false">IF(V$5="A",Inputs_Actuals!V206,U164)</f>
        <v>798.72</v>
      </c>
      <c r="W127" s="67" t="n">
        <f aca="false">IF(W$5="A",Inputs_Actuals!W206,V164)</f>
        <v>894.5664</v>
      </c>
      <c r="X127" s="67" t="n">
        <f aca="false">IF(X$5="A",Inputs_Actuals!X206,W164)</f>
        <v>734.8224</v>
      </c>
      <c r="Y127" s="67" t="n">
        <f aca="false">IF(Y$5="A",Inputs_Actuals!Y206,X164)</f>
        <v>479.232</v>
      </c>
      <c r="Z127" s="67" t="n">
        <f aca="false">IF(Z$5="A",Inputs_Actuals!Z206,Y164)</f>
        <v>942.4896</v>
      </c>
      <c r="AA127" s="67" t="n">
        <f aca="false">IF(AA$5="A",Inputs_Actuals!AA206,Z164)</f>
        <v>1022.3616</v>
      </c>
      <c r="AB127" s="67" t="n">
        <f aca="false">IF(AB$5="A",Inputs_Actuals!AB206,AA164)</f>
        <v>854.6304</v>
      </c>
    </row>
    <row r="128" customFormat="false" ht="15" hidden="false" customHeight="false" outlineLevel="0" collapsed="false">
      <c r="A128" s="27" t="s">
        <v>1215</v>
      </c>
      <c r="B128" s="63"/>
      <c r="C128" s="66" t="n">
        <f aca="false">SUM(E128:P128)</f>
        <v>249877.04941901</v>
      </c>
      <c r="D128" s="66" t="n">
        <f aca="false">SUM(Q128:AB128)</f>
        <v>270189.918627764</v>
      </c>
      <c r="E128" s="76" t="n">
        <f aca="false">E121+E125+E126+E127</f>
        <v>15104.84</v>
      </c>
      <c r="F128" s="76" t="n">
        <f aca="false">F121+F125+F126+F127</f>
        <v>14730.98</v>
      </c>
      <c r="G128" s="76" t="n">
        <f aca="false">G121+G125+G126+G127</f>
        <v>16762.39</v>
      </c>
      <c r="H128" s="76" t="n">
        <f aca="false">H121+H125+H126+H127</f>
        <v>20644.48</v>
      </c>
      <c r="I128" s="76" t="n">
        <f aca="false">I121+I125+I126+I127</f>
        <v>16765.81</v>
      </c>
      <c r="J128" s="76" t="n">
        <f aca="false">J121+J125+J126+J127</f>
        <v>35870.36</v>
      </c>
      <c r="K128" s="76" t="n">
        <f aca="false">K121+K125+K126+K127</f>
        <v>16899.64</v>
      </c>
      <c r="L128" s="76" t="n">
        <f aca="false">L121+L125+L126+L127</f>
        <v>21366.4</v>
      </c>
      <c r="M128" s="76" t="n">
        <f aca="false">M121+M125+M126+M127</f>
        <v>16261.01</v>
      </c>
      <c r="N128" s="76" t="n">
        <f aca="false">N121+N125+N126+N127</f>
        <v>16544.9896</v>
      </c>
      <c r="O128" s="76" t="n">
        <f aca="false">O121+O125+O126+O127</f>
        <v>32181.283475</v>
      </c>
      <c r="P128" s="76" t="n">
        <f aca="false">P121+P125+P126+P127</f>
        <v>26744.8663440104</v>
      </c>
      <c r="Q128" s="76" t="n">
        <f aca="false">Q121+Q125+Q126+Q127</f>
        <v>18920.8222941895</v>
      </c>
      <c r="R128" s="76" t="n">
        <f aca="false">R121+R125+R126+R127</f>
        <v>21493.5704956683</v>
      </c>
      <c r="S128" s="76" t="n">
        <f aca="false">S121+S125+S126+S127</f>
        <v>21616.1927301268</v>
      </c>
      <c r="T128" s="76" t="n">
        <f aca="false">T121+T125+T126+T127</f>
        <v>18926.1664096776</v>
      </c>
      <c r="U128" s="76" t="n">
        <f aca="false">U121+U125+U126+U127</f>
        <v>20709.9642407524</v>
      </c>
      <c r="V128" s="76" t="n">
        <f aca="false">V121+V125+V126+V127</f>
        <v>36974.3367337393</v>
      </c>
      <c r="W128" s="76" t="n">
        <f aca="false">W121+W125+W126+W127</f>
        <v>18982.3710424047</v>
      </c>
      <c r="X128" s="76" t="n">
        <f aca="false">X121+X125+X126+X127</f>
        <v>18822.6272373841</v>
      </c>
      <c r="Y128" s="76" t="n">
        <f aca="false">Y121+Y125+Y126+Y127</f>
        <v>18567.0368815026</v>
      </c>
      <c r="Z128" s="76" t="n">
        <f aca="false">Z121+Z125+Z126+Z127</f>
        <v>19030.2944785139</v>
      </c>
      <c r="AA128" s="76" t="n">
        <f aca="false">AA121+AA125+AA126+AA127</f>
        <v>37204.1008057572</v>
      </c>
      <c r="AB128" s="76" t="n">
        <f aca="false">AB121+AB125+AB126+AB127</f>
        <v>18942.4352780472</v>
      </c>
    </row>
    <row r="129" customFormat="false" ht="15" hidden="false" customHeight="false" outlineLevel="0" collapsed="false">
      <c r="A129" s="27" t="s">
        <v>1216</v>
      </c>
      <c r="B129" s="63" t="s">
        <v>1172</v>
      </c>
      <c r="C129" s="66" t="n">
        <f aca="false">SUM(E129:P129)</f>
        <v>59345.795487015</v>
      </c>
      <c r="D129" s="66" t="n">
        <f aca="false">SUM(Q129:AB129)</f>
        <v>64170.1056740939</v>
      </c>
      <c r="E129" s="67" t="n">
        <f aca="false">IF(E$5="A",Inputs_Actuals!E207,E128*Assumptions!$C$37)</f>
        <v>3587.4</v>
      </c>
      <c r="F129" s="67" t="n">
        <f aca="false">IF(F$5="A",Inputs_Actuals!F207,F128*Assumptions!$C$37)</f>
        <v>3498.61</v>
      </c>
      <c r="G129" s="67" t="n">
        <f aca="false">IF(G$5="A",Inputs_Actuals!G207,G128*Assumptions!$C$37)</f>
        <v>3981.07</v>
      </c>
      <c r="H129" s="67" t="n">
        <f aca="false">IF(H$5="A",Inputs_Actuals!H207,H128*Assumptions!$C$37)</f>
        <v>4903.06</v>
      </c>
      <c r="I129" s="67" t="n">
        <f aca="false">IF(I$5="A",Inputs_Actuals!I207,I128*Assumptions!$C$37)</f>
        <v>3981.88</v>
      </c>
      <c r="J129" s="67" t="n">
        <f aca="false">IF(J$5="A",Inputs_Actuals!J207,J128*Assumptions!$C$37)</f>
        <v>8519.21</v>
      </c>
      <c r="K129" s="67" t="n">
        <f aca="false">IF(K$5="A",Inputs_Actuals!K207,K128*Assumptions!$C$37)</f>
        <v>4013.66</v>
      </c>
      <c r="L129" s="67" t="n">
        <f aca="false">IF(L$5="A",Inputs_Actuals!L207,L128*Assumptions!$C$37)</f>
        <v>5074.52</v>
      </c>
      <c r="M129" s="67" t="n">
        <f aca="false">IF(M$5="A",Inputs_Actuals!M207,M128*Assumptions!$C$37)</f>
        <v>3861.989875</v>
      </c>
      <c r="N129" s="67" t="n">
        <f aca="false">IF(N$5="A",Inputs_Actuals!N207,N128*Assumptions!$C$37)</f>
        <v>3929.43503</v>
      </c>
      <c r="O129" s="67" t="n">
        <f aca="false">IF(O$5="A",Inputs_Actuals!O207,O128*Assumptions!$C$37)</f>
        <v>7643.0548253125</v>
      </c>
      <c r="P129" s="67" t="n">
        <f aca="false">IF(P$5="A",Inputs_Actuals!P207,P128*Assumptions!$C$37)</f>
        <v>6351.90575670247</v>
      </c>
      <c r="Q129" s="67" t="n">
        <f aca="false">IF(Q$5="A",Inputs_Actuals!Q207,Q128*Assumptions!$C$37)</f>
        <v>4493.69529486999</v>
      </c>
      <c r="R129" s="67" t="n">
        <f aca="false">IF(R$5="A",Inputs_Actuals!R207,R128*Assumptions!$C$37)</f>
        <v>5104.72299272123</v>
      </c>
      <c r="S129" s="67" t="n">
        <f aca="false">IF(S$5="A",Inputs_Actuals!S207,S128*Assumptions!$C$37)</f>
        <v>5133.84577340511</v>
      </c>
      <c r="T129" s="67" t="n">
        <f aca="false">IF(T$5="A",Inputs_Actuals!T207,T128*Assumptions!$C$37)</f>
        <v>4494.96452229842</v>
      </c>
      <c r="U129" s="67" t="n">
        <f aca="false">IF(U$5="A",Inputs_Actuals!U207,U128*Assumptions!$C$37)</f>
        <v>4918.61650717871</v>
      </c>
      <c r="V129" s="67" t="n">
        <f aca="false">IF(V$5="A",Inputs_Actuals!V207,V128*Assumptions!$C$37)</f>
        <v>8781.40497426307</v>
      </c>
      <c r="W129" s="67" t="n">
        <f aca="false">IF(W$5="A",Inputs_Actuals!W207,W128*Assumptions!$C$37)</f>
        <v>4508.31312257112</v>
      </c>
      <c r="X129" s="67" t="n">
        <f aca="false">IF(X$5="A",Inputs_Actuals!X207,X128*Assumptions!$C$37)</f>
        <v>4470.37396887872</v>
      </c>
      <c r="Y129" s="67" t="n">
        <f aca="false">IF(Y$5="A",Inputs_Actuals!Y207,Y128*Assumptions!$C$37)</f>
        <v>4409.67125935688</v>
      </c>
      <c r="Z129" s="67" t="n">
        <f aca="false">IF(Z$5="A",Inputs_Actuals!Z207,Z128*Assumptions!$C$37)</f>
        <v>4519.69493864706</v>
      </c>
      <c r="AA129" s="67" t="n">
        <f aca="false">IF(AA$5="A",Inputs_Actuals!AA207,AA128*Assumptions!$C$37)</f>
        <v>8835.97394136734</v>
      </c>
      <c r="AB129" s="67" t="n">
        <f aca="false">IF(AB$5="A",Inputs_Actuals!AB207,AB128*Assumptions!$C$37)</f>
        <v>4498.82837853622</v>
      </c>
    </row>
    <row r="130" customFormat="false" ht="15" hidden="false" customHeight="false" outlineLevel="0" collapsed="false">
      <c r="A130" s="27" t="s">
        <v>1217</v>
      </c>
      <c r="B130" s="63" t="s">
        <v>1174</v>
      </c>
      <c r="C130" s="66" t="n">
        <f aca="false">SUM(E130:P130)</f>
        <v>27486.4664360911</v>
      </c>
      <c r="D130" s="66" t="n">
        <f aca="false">SUM(Q130:AB130)</f>
        <v>29720.891049054</v>
      </c>
      <c r="E130" s="67" t="n">
        <f aca="false">IF(E$5="A",Inputs_Actuals!E208,E128*Assumptions!$C$38)</f>
        <v>1661.53</v>
      </c>
      <c r="F130" s="67" t="n">
        <f aca="false">IF(F$5="A",Inputs_Actuals!F208,F128*Assumptions!$C$38)</f>
        <v>1620.41</v>
      </c>
      <c r="G130" s="67" t="n">
        <f aca="false">IF(G$5="A",Inputs_Actuals!G208,G128*Assumptions!$C$38)</f>
        <v>1843.86</v>
      </c>
      <c r="H130" s="67" t="n">
        <f aca="false">IF(H$5="A",Inputs_Actuals!H208,H128*Assumptions!$C$38)</f>
        <v>2270.89</v>
      </c>
      <c r="I130" s="67" t="n">
        <f aca="false">IF(I$5="A",Inputs_Actuals!I208,I128*Assumptions!$C$38)</f>
        <v>1844.24</v>
      </c>
      <c r="J130" s="67" t="n">
        <f aca="false">IF(J$5="A",Inputs_Actuals!J208,J128*Assumptions!$C$38)</f>
        <v>3945.74</v>
      </c>
      <c r="K130" s="67" t="n">
        <f aca="false">IF(K$5="A",Inputs_Actuals!K208,K128*Assumptions!$C$38)</f>
        <v>1858.96</v>
      </c>
      <c r="L130" s="67" t="n">
        <f aca="false">IF(L$5="A",Inputs_Actuals!L208,L128*Assumptions!$C$38)</f>
        <v>2350.3</v>
      </c>
      <c r="M130" s="67" t="n">
        <f aca="false">IF(M$5="A",Inputs_Actuals!M208,M128*Assumptions!$C$38)</f>
        <v>1788.7111</v>
      </c>
      <c r="N130" s="67" t="n">
        <f aca="false">IF(N$5="A",Inputs_Actuals!N208,N128*Assumptions!$C$38)</f>
        <v>1819.948856</v>
      </c>
      <c r="O130" s="67" t="n">
        <f aca="false">IF(O$5="A",Inputs_Actuals!O208,O128*Assumptions!$C$38)</f>
        <v>3539.94118225</v>
      </c>
      <c r="P130" s="67" t="n">
        <f aca="false">IF(P$5="A",Inputs_Actuals!P208,P128*Assumptions!$C$38)</f>
        <v>2941.93529784115</v>
      </c>
      <c r="Q130" s="67" t="n">
        <f aca="false">IF(Q$5="A",Inputs_Actuals!Q208,Q128*Assumptions!$C$38)</f>
        <v>2081.29045236084</v>
      </c>
      <c r="R130" s="67" t="n">
        <f aca="false">IF(R$5="A",Inputs_Actuals!R208,R128*Assumptions!$C$38)</f>
        <v>2364.29275452352</v>
      </c>
      <c r="S130" s="67" t="n">
        <f aca="false">IF(S$5="A",Inputs_Actuals!S208,S128*Assumptions!$C$38)</f>
        <v>2377.78120031395</v>
      </c>
      <c r="T130" s="67" t="n">
        <f aca="false">IF(T$5="A",Inputs_Actuals!T208,T128*Assumptions!$C$38)</f>
        <v>2081.87830506453</v>
      </c>
      <c r="U130" s="67" t="n">
        <f aca="false">IF(U$5="A",Inputs_Actuals!U208,U128*Assumptions!$C$38)</f>
        <v>2278.09606648277</v>
      </c>
      <c r="V130" s="67" t="n">
        <f aca="false">IF(V$5="A",Inputs_Actuals!V208,V128*Assumptions!$C$38)</f>
        <v>4067.17704071132</v>
      </c>
      <c r="W130" s="67" t="n">
        <f aca="false">IF(W$5="A",Inputs_Actuals!W208,W128*Assumptions!$C$38)</f>
        <v>2088.06081466452</v>
      </c>
      <c r="X130" s="67" t="n">
        <f aca="false">IF(X$5="A",Inputs_Actuals!X208,X128*Assumptions!$C$38)</f>
        <v>2070.48899611225</v>
      </c>
      <c r="Y130" s="67" t="n">
        <f aca="false">IF(Y$5="A",Inputs_Actuals!Y208,Y128*Assumptions!$C$38)</f>
        <v>2042.37405696529</v>
      </c>
      <c r="Z130" s="67" t="n">
        <f aca="false">IF(Z$5="A",Inputs_Actuals!Z208,Z128*Assumptions!$C$38)</f>
        <v>2093.33239263653</v>
      </c>
      <c r="AA130" s="67" t="n">
        <f aca="false">IF(AA$5="A",Inputs_Actuals!AA208,AA128*Assumptions!$C$38)</f>
        <v>4092.45108863329</v>
      </c>
      <c r="AB130" s="67" t="n">
        <f aca="false">IF(AB$5="A",Inputs_Actuals!AB208,AB128*Assumptions!$C$38)</f>
        <v>2083.6678805852</v>
      </c>
    </row>
    <row r="131" customFormat="false" ht="15" hidden="false" customHeight="false" outlineLevel="0" collapsed="false">
      <c r="A131" s="27" t="s">
        <v>1218</v>
      </c>
      <c r="B131" s="63" t="s">
        <v>1176</v>
      </c>
      <c r="C131" s="66" t="n">
        <f aca="false">SUM(E131:P131)</f>
        <v>43786.8871517709</v>
      </c>
      <c r="D131" s="66" t="n">
        <f aca="false">SUM(Q131:AB131)</f>
        <v>48115.9456304794</v>
      </c>
      <c r="E131" s="67" t="n">
        <f aca="false">IF(E$5="A",Inputs_Actuals!E209,IF((E59+E60+E61+E62)=0,0,(E76*E59+E77*E60+E78*E61+E79*E62)/(E59+E60+E61+E62))*(E121+E125+E126)+Assumptions!$F$70*E127)</f>
        <v>2717.88</v>
      </c>
      <c r="F131" s="67" t="n">
        <f aca="false">IF(F$5="A",Inputs_Actuals!F209,IF((F59+F60+F61+F62)=0,0,(F76*F59+F77*F60+F78*F61+F79*F62)/(F59+F60+F61+F62))*(F121+F125+F126)+Assumptions!$F$70*F127)</f>
        <v>2661.55</v>
      </c>
      <c r="G131" s="67" t="n">
        <f aca="false">IF(G$5="A",Inputs_Actuals!G209,IF((G59+G60+G61+G62)=0,0,(G76*G59+G77*G60+G78*G61+G79*G62)/(G59+G60+G61+G62))*(G121+G125+G126)+Assumptions!$F$70*G127)</f>
        <v>2967.62</v>
      </c>
      <c r="H131" s="67" t="n">
        <f aca="false">IF(H$5="A",Inputs_Actuals!H209,IF((H59+H60+H61+H62)=0,0,(H76*H59+H77*H60+H78*H61+H79*H62)/(H59+H60+H61+H62))*(H121+H125+H126)+Assumptions!$F$70*H127)</f>
        <v>3552.53</v>
      </c>
      <c r="I131" s="67" t="n">
        <f aca="false">IF(I$5="A",Inputs_Actuals!I209,IF((I59+I60+I61+I62)=0,0,(I76*I59+I77*I60+I78*I61+I79*I62)/(I59+I60+I61+I62))*(I121+I125+I126)+Assumptions!$F$70*I127)</f>
        <v>2968.13</v>
      </c>
      <c r="J131" s="67" t="n">
        <f aca="false">IF(J$5="A",Inputs_Actuals!J209,IF((J59+J60+J61+J62)=0,0,(J76*J59+J77*J60+J78*J61+J79*J62)/(J59+J60+J61+J62))*(J121+J125+J126)+Assumptions!$F$70*J127)</f>
        <v>6288.65</v>
      </c>
      <c r="K131" s="67" t="n">
        <f aca="false">IF(K$5="A",Inputs_Actuals!K209,IF((K59+K60+K61+K62)=0,0,(K76*K59+K77*K60+K78*K61+K79*K62)/(K59+K60+K61+K62))*(K121+K125+K126)+Assumptions!$F$70*K127)</f>
        <v>2988.3</v>
      </c>
      <c r="L131" s="67" t="n">
        <f aca="false">IF(L$5="A",Inputs_Actuals!L209,IF((L59+L60+L61+L62)=0,0,(L76*L59+L77*L60+L78*L61+L79*L62)/(L59+L60+L61+L62))*(L121+L125+L126)+Assumptions!$F$70*L127)</f>
        <v>3661.31</v>
      </c>
      <c r="M131" s="67" t="n">
        <f aca="false">IF(M$5="A",Inputs_Actuals!M209,IF((M59+M60+M61+M62)=0,0,(M76*M59+M77*M60+M78*M61+M79*M62)/(M59+M60+M61+M62))*(M121+M125+M126)+Assumptions!$F$70*M127)</f>
        <v>2886.5510017</v>
      </c>
      <c r="N131" s="67" t="n">
        <f aca="false">IF(N$5="A",Inputs_Actuals!N209,IF((N59+N60+N61+N62)=0,0,(N76*N59+N77*N60+N78*N61+N79*N62)/(N59+N60+N61+N62))*(N121+N125+N126)+Assumptions!$F$70*N127)</f>
        <v>2923.8819002195</v>
      </c>
      <c r="O131" s="67" t="n">
        <f aca="false">IF(O$5="A",Inputs_Actuals!O209,IF((O59+O60+O61+O62)=0,0,(O76*O59+O77*O60+O78*O61+O79*O62)/(O59+O60+O61+O62))*(O121+O125+O126)+Assumptions!$F$70*O127)</f>
        <v>5709.57762095364</v>
      </c>
      <c r="P131" s="67" t="n">
        <f aca="false">IF(P$5="A",Inputs_Actuals!P209,IF((P59+P60+P61+P62)=0,0,(P76*P59+P77*P60+P78*P61+P79*P62)/(P59+P60+P61+P62))*(P121+P125+P126)+Assumptions!$F$70*P127)</f>
        <v>4460.90662889773</v>
      </c>
      <c r="Q131" s="67" t="n">
        <f aca="false">IF(Q$5="A",Inputs_Actuals!Q209,IF((Q59+Q60+Q61+Q62)=0,0,(Q76*Q59+Q77*Q60+Q78*Q61+Q79*Q62)/(Q59+Q60+Q61+Q62))*(Q121+Q125+Q126)+Assumptions!$F$70*Q127)</f>
        <v>3380.02919229869</v>
      </c>
      <c r="R131" s="67" t="n">
        <f aca="false">IF(R$5="A",Inputs_Actuals!R209,IF((R59+R60+R61+R62)=0,0,(R76*R59+R77*R60+R78*R61+R79*R62)/(R59+R60+R61+R62))*(R121+R125+R126)+Assumptions!$F$70*R127)</f>
        <v>3767.54395329096</v>
      </c>
      <c r="S131" s="67" t="n">
        <f aca="false">IF(S$5="A",Inputs_Actuals!S209,IF((S59+S60+S61+S62)=0,0,(S76*S59+S77*S60+S78*S61+S79*S62)/(S59+S60+S61+S62))*(S121+S125+S126)+Assumptions!$F$70*S127)</f>
        <v>3785.90075134893</v>
      </c>
      <c r="T131" s="67" t="n">
        <f aca="false">IF(T$5="A",Inputs_Actuals!T209,IF((T59+T60+T61+T62)=0,0,(T76*T59+T77*T60+T78*T61+T79*T62)/(T59+T60+T61+T62))*(T121+T125+T126)+Assumptions!$F$70*T127)</f>
        <v>3380.5974844535</v>
      </c>
      <c r="U131" s="67" t="n">
        <f aca="false">IF(U$5="A",Inputs_Actuals!U209,IF((U59+U60+U61+U62)=0,0,(U76*U59+U77*U60+U78*U61+U79*U62)/(U59+U60+U61+U62))*(U121+U125+U126)+Assumptions!$F$70*U127)</f>
        <v>3649.36374985157</v>
      </c>
      <c r="V131" s="67" t="n">
        <f aca="false">IF(V$5="A",Inputs_Actuals!V209,IF((V59+V60+V61+V62)=0,0,(V76*V59+V77*V60+V78*V61+V79*V62)/(V59+V60+V61+V62))*(V121+V125+V126)+Assumptions!$F$70*V127)</f>
        <v>6628.91007994237</v>
      </c>
      <c r="W131" s="67" t="n">
        <f aca="false">IF(W$5="A",Inputs_Actuals!W209,IF((W59+W60+W61+W62)=0,0,(W76*W59+W77*W60+W78*W61+W79*W62)/(W59+W60+W61+W62))*(W121+W125+W126)+Assumptions!$F$70*W127)</f>
        <v>3389.06720971122</v>
      </c>
      <c r="X131" s="67" t="n">
        <f aca="false">IF(X$5="A",Inputs_Actuals!X209,IF((X59+X60+X61+X62)=0,0,(X76*X59+X77*X60+X78*X61+X79*X62)/(X59+X60+X61+X62))*(X121+X125+X126)+Assumptions!$F$70*X127)</f>
        <v>3364.99861152057</v>
      </c>
      <c r="Y131" s="67" t="n">
        <f aca="false">IF(Y$5="A",Inputs_Actuals!Y209,IF((Y59+Y60+Y61+Y62)=0,0,(Y76*Y59+Y77*Y60+Y78*Y61+Y79*Y62)/(Y59+Y60+Y61+Y62))*(Y121+Y125+Y126)+Assumptions!$F$70*Y127)</f>
        <v>3326.4888128058</v>
      </c>
      <c r="Z131" s="67" t="n">
        <f aca="false">IF(Z$5="A",Inputs_Actuals!Z209,IF((Z59+Z60+Z61+Z62)=0,0,(Z76*Z59+Z77*Z60+Z78*Z61+Z79*Z62)/(Z59+Z60+Z61+Z62))*(Z121+Z125+Z126)+Assumptions!$F$70*Z127)</f>
        <v>3396.28783493352</v>
      </c>
      <c r="AA131" s="67" t="n">
        <f aca="false">IF(AA$5="A",Inputs_Actuals!AA209,IF((AA59+AA60+AA61+AA62)=0,0,(AA76*AA59+AA77*AA60+AA78*AA61+AA79*AA62)/(AA59+AA60+AA61+AA62))*(AA121+AA125+AA126)+Assumptions!$F$70*AA127)</f>
        <v>6663.70786112511</v>
      </c>
      <c r="AB131" s="67" t="n">
        <f aca="false">IF(AB$5="A",Inputs_Actuals!AB209,IF((AB59+AB60+AB61+AB62)=0,0,(AB76*AB59+AB77*AB60+AB78*AB61+AB79*AB62)/(AB59+AB60+AB61+AB62))*(AB121+AB125+AB126)+Assumptions!$F$70*AB127)</f>
        <v>3383.05008919712</v>
      </c>
    </row>
    <row r="132" customFormat="false" ht="15" hidden="false" customHeight="false" outlineLevel="0" collapsed="false">
      <c r="A132" s="27" t="s">
        <v>1219</v>
      </c>
      <c r="B132" s="63" t="s">
        <v>1178</v>
      </c>
      <c r="C132" s="66" t="n">
        <f aca="false">SUM(E132:P132)</f>
        <v>15581.3418489111</v>
      </c>
      <c r="D132" s="66" t="n">
        <f aca="false">SUM(Q132:AB132)</f>
        <v>17958.3795166149</v>
      </c>
      <c r="E132" s="67" t="n">
        <f aca="false">IF(E$5="A",Inputs_Actuals!E210,E120*Assumptions!$C$41*(Assumptions!$C$42-Assumptions!$C$43*Assumptions!E$214))</f>
        <v>1207.2</v>
      </c>
      <c r="F132" s="67" t="n">
        <f aca="false">IF(F$5="A",Inputs_Actuals!F210,F120*Assumptions!$C$41*(Assumptions!$C$42-Assumptions!$C$43*Assumptions!F$214))</f>
        <v>1194</v>
      </c>
      <c r="G132" s="67" t="n">
        <f aca="false">IF(G$5="A",Inputs_Actuals!G210,G120*Assumptions!$C$41*(Assumptions!$C$42-Assumptions!$C$43*Assumptions!G$214))</f>
        <v>1393</v>
      </c>
      <c r="H132" s="67" t="n">
        <f aca="false">IF(H$5="A",Inputs_Actuals!H210,H120*Assumptions!$C$41*(Assumptions!$C$42-Assumptions!$C$43*Assumptions!H$214))</f>
        <v>1331.4</v>
      </c>
      <c r="I132" s="67" t="n">
        <f aca="false">IF(I$5="A",Inputs_Actuals!I210,I120*Assumptions!$C$41*(Assumptions!$C$42-Assumptions!$C$43*Assumptions!I$214))</f>
        <v>1377.6</v>
      </c>
      <c r="J132" s="67" t="n">
        <f aca="false">IF(J$5="A",Inputs_Actuals!J210,J120*Assumptions!$C$41*(Assumptions!$C$42-Assumptions!$C$43*Assumptions!J$214))</f>
        <v>1331.4</v>
      </c>
      <c r="K132" s="67" t="n">
        <f aca="false">IF(K$5="A",Inputs_Actuals!K210,K120*Assumptions!$C$41*(Assumptions!$C$42-Assumptions!$C$43*Assumptions!K$214))</f>
        <v>1254.4</v>
      </c>
      <c r="L132" s="67" t="n">
        <f aca="false">IF(L$5="A",Inputs_Actuals!L210,L120*Assumptions!$C$41*(Assumptions!$C$42-Assumptions!$C$43*Assumptions!L$214))</f>
        <v>1131.2</v>
      </c>
      <c r="M132" s="67" t="n">
        <f aca="false">IF(M$5="A",Inputs_Actuals!M210,M120*Assumptions!$C$41*(Assumptions!$C$42-Assumptions!$C$43*Assumptions!M$214))</f>
        <v>1329.965</v>
      </c>
      <c r="N132" s="67" t="n">
        <f aca="false">IF(N$5="A",Inputs_Actuals!N210,N120*Assumptions!$C$41*(Assumptions!$C$42-Assumptions!$C$43*Assumptions!N$214))</f>
        <v>1358.39265625</v>
      </c>
      <c r="O132" s="67" t="n">
        <f aca="false">IF(O$5="A",Inputs_Actuals!O210,O120*Assumptions!$C$41*(Assumptions!$C$42-Assumptions!$C$43*Assumptions!O$214))</f>
        <v>1373.84743671875</v>
      </c>
      <c r="P132" s="67" t="n">
        <f aca="false">IF(P$5="A",Inputs_Actuals!P210,P120*Assumptions!$C$41*(Assumptions!$C$42-Assumptions!$C$43*Assumptions!P$214))</f>
        <v>1298.93675594238</v>
      </c>
      <c r="Q132" s="67" t="n">
        <f aca="false">IF(Q$5="A",Inputs_Actuals!Q210,Q120*Assumptions!$C$41*(Assumptions!$C$42-Assumptions!$C$43*Assumptions!Q$214))</f>
        <v>1575.25116602527</v>
      </c>
      <c r="R132" s="67" t="n">
        <f aca="false">IF(R$5="A",Inputs_Actuals!R210,R120*Assumptions!$C$41*(Assumptions!$C$42-Assumptions!$C$43*Assumptions!R$214))</f>
        <v>1555.53673092633</v>
      </c>
      <c r="S132" s="67" t="n">
        <f aca="false">IF(S$5="A",Inputs_Actuals!S210,S120*Assumptions!$C$41*(Assumptions!$C$42-Assumptions!$C$43*Assumptions!S$214))</f>
        <v>1553.08045649221</v>
      </c>
      <c r="T132" s="67" t="n">
        <f aca="false">IF(T$5="A",Inputs_Actuals!T210,T120*Assumptions!$C$41*(Assumptions!$C$42-Assumptions!$C$43*Assumptions!T$214))</f>
        <v>1484.46061626589</v>
      </c>
      <c r="U132" s="67" t="n">
        <f aca="false">IF(U$5="A",Inputs_Actuals!U210,U120*Assumptions!$C$41*(Assumptions!$C$42-Assumptions!$C$43*Assumptions!U$214))</f>
        <v>1536.00146761579</v>
      </c>
      <c r="V132" s="67" t="n">
        <f aca="false">IF(V$5="A",Inputs_Actuals!V210,V120*Assumptions!$C$41*(Assumptions!$C$42-Assumptions!$C$43*Assumptions!V$214))</f>
        <v>1484.48812700574</v>
      </c>
      <c r="W132" s="67" t="n">
        <f aca="false">IF(W$5="A",Inputs_Actuals!W210,W120*Assumptions!$C$41*(Assumptions!$C$42-Assumptions!$C$43*Assumptions!W$214))</f>
        <v>1398.63412584317</v>
      </c>
      <c r="X132" s="67" t="n">
        <f aca="false">IF(X$5="A",Inputs_Actuals!X210,X120*Assumptions!$C$41*(Assumptions!$C$42-Assumptions!$C$43*Assumptions!X$214))</f>
        <v>1261.26828949287</v>
      </c>
      <c r="Y132" s="67" t="n">
        <f aca="false">IF(Y$5="A",Inputs_Actuals!Y210,Y120*Assumptions!$C$41*(Assumptions!$C$42-Assumptions!$C$43*Assumptions!Y$214))</f>
        <v>1501.65853690794</v>
      </c>
      <c r="Z132" s="67" t="n">
        <f aca="false">IF(Z$5="A",Inputs_Actuals!Z210,Z120*Assumptions!$C$41*(Assumptions!$C$42-Assumptions!$C$43*Assumptions!Z$214))</f>
        <v>1553.17073175225</v>
      </c>
      <c r="AA132" s="67" t="n">
        <f aca="false">IF(AA$5="A",Inputs_Actuals!AA210,AA120*Assumptions!$C$41*(Assumptions!$C$42-Assumptions!$C$43*Assumptions!AA$214))</f>
        <v>1570.34146340985</v>
      </c>
      <c r="AB132" s="67" t="n">
        <f aca="false">IF(AB$5="A",Inputs_Actuals!AB210,AB120*Assumptions!$C$41*(Assumptions!$C$42-Assumptions!$C$43*Assumptions!AB$214))</f>
        <v>1484.48780487757</v>
      </c>
    </row>
    <row r="133" customFormat="false" ht="15" hidden="false" customHeight="false" outlineLevel="0" collapsed="false">
      <c r="A133" s="27" t="s">
        <v>1220</v>
      </c>
      <c r="B133" s="63" t="s">
        <v>1180</v>
      </c>
      <c r="C133" s="66" t="n">
        <f aca="false">SUM(E133:P133)</f>
        <v>4564.18618144531</v>
      </c>
      <c r="D133" s="66" t="n">
        <f aca="false">SUM(Q133:AB133)</f>
        <v>5353.00681553845</v>
      </c>
      <c r="E133" s="67" t="n">
        <f aca="false">IF(E$5="A",Inputs_Actuals!E211,E120*Assumptions!$C$45*Assumptions!E$208+Assumptions!$C$44*E121*14/12)</f>
        <v>339</v>
      </c>
      <c r="F133" s="67" t="n">
        <f aca="false">IF(F$5="A",Inputs_Actuals!F211,F120*Assumptions!$C$45*Assumptions!F$208+Assumptions!$C$44*F121*14/12)</f>
        <v>339</v>
      </c>
      <c r="G133" s="67" t="n">
        <f aca="false">IF(G$5="A",Inputs_Actuals!G211,G120*Assumptions!$C$45*Assumptions!G$208+Assumptions!$C$44*G121*14/12)</f>
        <v>392</v>
      </c>
      <c r="H133" s="67" t="n">
        <f aca="false">IF(H$5="A",Inputs_Actuals!H211,H120*Assumptions!$C$45*Assumptions!H$208+Assumptions!$C$44*H121*14/12)</f>
        <v>392</v>
      </c>
      <c r="I133" s="67" t="n">
        <f aca="false">IF(I$5="A",Inputs_Actuals!I211,I120*Assumptions!$C$45*Assumptions!I$208+Assumptions!$C$44*I121*14/12)</f>
        <v>392</v>
      </c>
      <c r="J133" s="67" t="n">
        <f aca="false">IF(J$5="A",Inputs_Actuals!J211,J120*Assumptions!$C$45*Assumptions!J$208+Assumptions!$C$44*J121*14/12)</f>
        <v>392</v>
      </c>
      <c r="K133" s="67" t="n">
        <f aca="false">IF(K$5="A",Inputs_Actuals!K211,K120*Assumptions!$C$45*Assumptions!K$208+Assumptions!$C$44*K121*14/12)</f>
        <v>392</v>
      </c>
      <c r="L133" s="67" t="n">
        <f aca="false">IF(L$5="A",Inputs_Actuals!L211,L120*Assumptions!$C$45*Assumptions!L$208+Assumptions!$C$44*L121*14/12)</f>
        <v>392</v>
      </c>
      <c r="M133" s="67" t="n">
        <f aca="false">IF(M$5="A",Inputs_Actuals!M211,M120*Assumptions!$C$45*Assumptions!M$208+Assumptions!$C$44*M121*14/12)</f>
        <v>387.1</v>
      </c>
      <c r="N133" s="67" t="n">
        <f aca="false">IF(N$5="A",Inputs_Actuals!N211,N120*Assumptions!$C$45*Assumptions!N$208+Assumptions!$C$44*N121*14/12)</f>
        <v>382.26125</v>
      </c>
      <c r="O133" s="67" t="n">
        <f aca="false">IF(O$5="A",Inputs_Actuals!O211,O120*Assumptions!$C$45*Assumptions!O$208+Assumptions!$C$44*O121*14/12)</f>
        <v>382.382984375</v>
      </c>
      <c r="P133" s="67" t="n">
        <f aca="false">IF(P$5="A",Inputs_Actuals!P211,P120*Assumptions!$C$45*Assumptions!P$208+Assumptions!$C$44*P121*14/12)</f>
        <v>382.441947070313</v>
      </c>
      <c r="Q133" s="67" t="n">
        <f aca="false">IF(Q$5="A",Inputs_Actuals!Q211,Q120*Assumptions!$C$45*Assumptions!Q$208+Assumptions!$C$44*Q121*14/12)</f>
        <v>447.250194183765</v>
      </c>
      <c r="R133" s="67" t="n">
        <f aca="false">IF(R$5="A",Inputs_Actuals!R211,R120*Assumptions!$C$45*Assumptions!R$208+Assumptions!$C$44*R121*14/12)</f>
        <v>446.56909114514</v>
      </c>
      <c r="S133" s="67" t="n">
        <f aca="false">IF(S$5="A",Inputs_Actuals!S211,S120*Assumptions!$C$45*Assumptions!S$208+Assumptions!$C$44*S121*14/12)</f>
        <v>445.897258933389</v>
      </c>
      <c r="T133" s="67" t="n">
        <f aca="false">IF(T$5="A",Inputs_Actuals!T211,T120*Assumptions!$C$45*Assumptions!T$208+Assumptions!$C$44*T121*14/12)</f>
        <v>445.914170624018</v>
      </c>
      <c r="U133" s="67" t="n">
        <f aca="false">IF(U$5="A",Inputs_Actuals!U211,U120*Assumptions!$C$45*Assumptions!U$208+Assumptions!$C$44*U121*14/12)</f>
        <v>445.922357130532</v>
      </c>
      <c r="V133" s="67" t="n">
        <f aca="false">IF(V$5="A",Inputs_Actuals!V211,V120*Assumptions!$C$45*Assumptions!V$208+Assumptions!$C$44*V121*14/12)</f>
        <v>445.922043403068</v>
      </c>
      <c r="W133" s="67" t="n">
        <f aca="false">IF(W$5="A",Inputs_Actuals!W211,W120*Assumptions!$C$45*Assumptions!W$208+Assumptions!$C$44*W121*14/12)</f>
        <v>445.92194499333</v>
      </c>
      <c r="X133" s="67" t="n">
        <f aca="false">IF(X$5="A",Inputs_Actuals!X211,X120*Assumptions!$C$45*Assumptions!X$208+Assumptions!$C$44*X121*14/12)</f>
        <v>445.921950145045</v>
      </c>
      <c r="Y133" s="67" t="n">
        <f aca="false">IF(Y$5="A",Inputs_Actuals!Y211,Y120*Assumptions!$C$45*Assumptions!Y$208+Assumptions!$C$44*Y121*14/12)</f>
        <v>445.92195131077</v>
      </c>
      <c r="Z133" s="67" t="n">
        <f aca="false">IF(Z$5="A",Inputs_Actuals!Z211,Z120*Assumptions!$C$45*Assumptions!Z$208+Assumptions!$C$44*Z121*14/12)</f>
        <v>445.921951231802</v>
      </c>
      <c r="AA133" s="67" t="n">
        <f aca="false">IF(AA$5="A",Inputs_Actuals!AA211,AA120*Assumptions!$C$45*Assumptions!AA$208+Assumptions!$C$44*AA121*14/12)</f>
        <v>445.921951218218</v>
      </c>
      <c r="AB133" s="67" t="n">
        <f aca="false">IF(AB$5="A",Inputs_Actuals!AB211,AB120*Assumptions!$C$45*Assumptions!AB$208+Assumptions!$C$44*AB121*14/12)</f>
        <v>445.921951219375</v>
      </c>
    </row>
    <row r="134" customFormat="false" ht="15" hidden="false" customHeight="false" outlineLevel="0" collapsed="false">
      <c r="A134" s="27" t="s">
        <v>1221</v>
      </c>
      <c r="B134" s="63" t="s">
        <v>1182</v>
      </c>
      <c r="C134" s="66" t="n">
        <f aca="false">SUM(E134:P134)</f>
        <v>178603.695831148</v>
      </c>
      <c r="D134" s="66" t="n">
        <f aca="false">SUM(Q134:AB134)</f>
        <v>192353.08194823</v>
      </c>
      <c r="E134" s="67" t="n">
        <f aca="false">IF(E$5="A",Inputs_Actuals!E212,E128-E130-E131)</f>
        <v>10725.43</v>
      </c>
      <c r="F134" s="67" t="n">
        <f aca="false">IF(F$5="A",Inputs_Actuals!F212,F128-F130-F131)</f>
        <v>10449.03</v>
      </c>
      <c r="G134" s="67" t="n">
        <f aca="false">IF(G$5="A",Inputs_Actuals!G212,G128-G130-G131)</f>
        <v>11950.91</v>
      </c>
      <c r="H134" s="67" t="n">
        <f aca="false">IF(H$5="A",Inputs_Actuals!H212,H128-H130-H131)</f>
        <v>14821.05</v>
      </c>
      <c r="I134" s="67" t="n">
        <f aca="false">IF(I$5="A",Inputs_Actuals!I212,I128-I130-I131)</f>
        <v>11953.44</v>
      </c>
      <c r="J134" s="67" t="n">
        <f aca="false">IF(J$5="A",Inputs_Actuals!J212,J128-J130-J131)</f>
        <v>25635.97</v>
      </c>
      <c r="K134" s="67" t="n">
        <f aca="false">IF(K$5="A",Inputs_Actuals!K212,K128-K130-K131)</f>
        <v>12052.38</v>
      </c>
      <c r="L134" s="67" t="n">
        <f aca="false">IF(L$5="A",Inputs_Actuals!L212,L128-L130-L131)</f>
        <v>15354.79</v>
      </c>
      <c r="M134" s="67" t="n">
        <f aca="false">IF(M$5="A",Inputs_Actuals!M212,M128-M130-M131)</f>
        <v>11585.7478983</v>
      </c>
      <c r="N134" s="67" t="n">
        <f aca="false">IF(N$5="A",Inputs_Actuals!N212,N128-N130-N131)</f>
        <v>11801.1588437805</v>
      </c>
      <c r="O134" s="67" t="n">
        <f aca="false">IF(O$5="A",Inputs_Actuals!O212,O128-O130-O131)</f>
        <v>22931.7646717964</v>
      </c>
      <c r="P134" s="67" t="n">
        <f aca="false">IF(P$5="A",Inputs_Actuals!P212,P128-P130-P131)</f>
        <v>19342.0244172715</v>
      </c>
      <c r="Q134" s="67" t="n">
        <f aca="false">IF(Q$5="A",Inputs_Actuals!Q212,Q128-Q130-Q131)</f>
        <v>13459.5026495299</v>
      </c>
      <c r="R134" s="67" t="n">
        <f aca="false">IF(R$5="A",Inputs_Actuals!R212,R128-R130-R131)</f>
        <v>15361.7337878539</v>
      </c>
      <c r="S134" s="67" t="n">
        <f aca="false">IF(S$5="A",Inputs_Actuals!S212,S128-S130-S131)</f>
        <v>15452.5107784639</v>
      </c>
      <c r="T134" s="67" t="n">
        <f aca="false">IF(T$5="A",Inputs_Actuals!T212,T128-T130-T131)</f>
        <v>13463.6906201595</v>
      </c>
      <c r="U134" s="67" t="n">
        <f aca="false">IF(U$5="A",Inputs_Actuals!U212,U128-U130-U131)</f>
        <v>14782.5044244181</v>
      </c>
      <c r="V134" s="67" t="n">
        <f aca="false">IF(V$5="A",Inputs_Actuals!V212,V128-V130-V131)</f>
        <v>26278.2496130856</v>
      </c>
      <c r="W134" s="67" t="n">
        <f aca="false">IF(W$5="A",Inputs_Actuals!W212,W128-W130-W131)</f>
        <v>13505.243018029</v>
      </c>
      <c r="X134" s="67" t="n">
        <f aca="false">IF(X$5="A",Inputs_Actuals!X212,X128-X130-X131)</f>
        <v>13387.1396297513</v>
      </c>
      <c r="Y134" s="67" t="n">
        <f aca="false">IF(Y$5="A",Inputs_Actuals!Y212,Y128-Y130-Y131)</f>
        <v>13198.1740117315</v>
      </c>
      <c r="Z134" s="67" t="n">
        <f aca="false">IF(Z$5="A",Inputs_Actuals!Z212,Z128-Z130-Z131)</f>
        <v>13540.6742509439</v>
      </c>
      <c r="AA134" s="67" t="n">
        <f aca="false">IF(AA$5="A",Inputs_Actuals!AA212,AA128-AA130-AA131)</f>
        <v>26447.9418559988</v>
      </c>
      <c r="AB134" s="67" t="n">
        <f aca="false">IF(AB$5="A",Inputs_Actuals!AB212,AB128-AB130-AB131)</f>
        <v>13475.7173082649</v>
      </c>
    </row>
    <row r="135" customFormat="false" ht="15" hidden="false" customHeight="false" outlineLevel="0" collapsed="false">
      <c r="A135" s="27" t="s">
        <v>1222</v>
      </c>
      <c r="B135" s="63" t="s">
        <v>1184</v>
      </c>
      <c r="C135" s="66" t="n">
        <f aca="false">P135</f>
        <v>0</v>
      </c>
      <c r="D135" s="66" t="n">
        <f aca="false">AB135</f>
        <v>0</v>
      </c>
      <c r="E135" s="67" t="n">
        <f aca="false">0+(E123-E126)*(1+Assumptions!$C$37)</f>
        <v>1443.75</v>
      </c>
      <c r="F135" s="67" t="n">
        <f aca="false">E135+(F123-F126)*(1+Assumptions!$C$37)</f>
        <v>2887.5</v>
      </c>
      <c r="G135" s="67" t="n">
        <f aca="false">F135+(G123-G126)*(1+Assumptions!$C$37)</f>
        <v>4537.5</v>
      </c>
      <c r="H135" s="67" t="n">
        <f aca="false">G135+(H123-H126)*(1+Assumptions!$C$37)</f>
        <v>6187.5</v>
      </c>
      <c r="I135" s="67" t="n">
        <f aca="false">H135+(I123-I126)*(1+Assumptions!$C$37)</f>
        <v>7837.5</v>
      </c>
      <c r="J135" s="67" t="n">
        <f aca="false">I135+(J123-J126)*(1+Assumptions!$C$37)</f>
        <v>9487.5</v>
      </c>
      <c r="K135" s="67" t="n">
        <f aca="false">J135+(K123-K126)*(1+Assumptions!$C$37)</f>
        <v>11137.5</v>
      </c>
      <c r="L135" s="67" t="n">
        <f aca="false">K135+(L123-L126)*(1+Assumptions!$C$37)</f>
        <v>12787.5</v>
      </c>
      <c r="M135" s="67" t="n">
        <f aca="false">L135+(M123-M126)*(1+Assumptions!$C$37)</f>
        <v>14416.875</v>
      </c>
      <c r="N135" s="67" t="n">
        <f aca="false">M135+(N123-N126)*(1+Assumptions!$C$37)</f>
        <v>16025.8828125</v>
      </c>
      <c r="O135" s="67" t="n">
        <f aca="false">N135+(O123-O126)*(1+Assumptions!$C$37)</f>
        <v>-1609.52021484375</v>
      </c>
      <c r="P135" s="67" t="n">
        <f aca="false">O135+(P123-P126)*(1+Assumptions!$C$37)</f>
        <v>0</v>
      </c>
      <c r="Q135" s="67" t="n">
        <f aca="false">P135+(Q123-Q126)*(1+Assumptions!$C$37)</f>
        <v>1870.48915908829</v>
      </c>
      <c r="R135" s="67" t="n">
        <f aca="false">Q135+(R123-R126)*(1+Assumptions!$C$37)</f>
        <v>3738.31977645408</v>
      </c>
      <c r="S135" s="67" t="n">
        <f aca="false">R135+(S123-S126)*(1+Assumptions!$C$37)</f>
        <v>5603.52827924841</v>
      </c>
      <c r="T135" s="67" t="n">
        <f aca="false">S135+(T123-T126)*(1+Assumptions!$C$37)</f>
        <v>7468.80279024641</v>
      </c>
      <c r="U135" s="67" t="n">
        <f aca="false">T135+(U123-U126)*(1+Assumptions!$C$37)</f>
        <v>9334.109252574</v>
      </c>
      <c r="V135" s="67" t="n">
        <f aca="false">U135+(V123-V126)*(1+Assumptions!$C$37)</f>
        <v>11199.4144904074</v>
      </c>
      <c r="W135" s="67" t="n">
        <f aca="false">V135+(W123-W126)*(1+Assumptions!$C$37)</f>
        <v>13064.7193441554</v>
      </c>
      <c r="X135" s="67" t="n">
        <f aca="false">W135+(X123-X126)*(1+Assumptions!$C$37)</f>
        <v>14930.0242180107</v>
      </c>
      <c r="Y135" s="67" t="n">
        <f aca="false">X135+(Y123-Y126)*(1+Assumptions!$C$37)</f>
        <v>16795.3290964156</v>
      </c>
      <c r="Z135" s="67" t="n">
        <f aca="false">Y135+(Z123-Z126)*(1+Assumptions!$C$37)</f>
        <v>18660.6339745124</v>
      </c>
      <c r="AA135" s="67" t="n">
        <f aca="false">Z135+(AA123-AA126)*(1+Assumptions!$C$37)</f>
        <v>-1865.30487804373</v>
      </c>
      <c r="AB135" s="67" t="n">
        <f aca="false">AA135+(AB123-AB126)*(1+Assumptions!$C$37)</f>
        <v>0</v>
      </c>
    </row>
    <row r="136" customFormat="false" ht="15" hidden="false" customHeight="false" outlineLevel="0" collapsed="false">
      <c r="A136" s="27" t="s">
        <v>1223</v>
      </c>
      <c r="B136" s="63" t="s">
        <v>1186</v>
      </c>
      <c r="C136" s="66" t="n">
        <f aca="false">SUM(E136:P136)</f>
        <v>1128.50280274545</v>
      </c>
      <c r="D136" s="66" t="n">
        <f aca="false">SUM(Q136:AB136)</f>
        <v>0</v>
      </c>
      <c r="E136" s="76" t="n">
        <f aca="false">IF(E156=0,0,E159*E121/E156)</f>
        <v>0</v>
      </c>
      <c r="F136" s="76" t="n">
        <f aca="false">IF(F156=0,0,F159*F121/F156)</f>
        <v>0</v>
      </c>
      <c r="G136" s="76" t="n">
        <f aca="false">IF(G156=0,0,G159*G121/G156)</f>
        <v>0</v>
      </c>
      <c r="H136" s="76" t="n">
        <f aca="false">IF(H156=0,0,H159*H121/H156)</f>
        <v>0</v>
      </c>
      <c r="I136" s="76" t="n">
        <f aca="false">IF(I156=0,0,I159*I121/I156)</f>
        <v>0</v>
      </c>
      <c r="J136" s="76" t="n">
        <f aca="false">IF(J156=0,0,J159*J121/J156)</f>
        <v>0</v>
      </c>
      <c r="K136" s="76" t="n">
        <f aca="false">IF(K156=0,0,K159*K121/K156)</f>
        <v>0</v>
      </c>
      <c r="L136" s="76" t="n">
        <f aca="false">IF(L156=0,0,L159*L121/L156)</f>
        <v>0</v>
      </c>
      <c r="M136" s="76" t="n">
        <f aca="false">IF(M156=0,0,M159*M121/M156)</f>
        <v>0</v>
      </c>
      <c r="N136" s="76" t="n">
        <f aca="false">IF(N156=0,0,N159*N121/N156)</f>
        <v>0</v>
      </c>
      <c r="O136" s="76" t="n">
        <f aca="false">IF(O156=0,0,O159*O121/O156)</f>
        <v>0</v>
      </c>
      <c r="P136" s="76" t="n">
        <f aca="false">IF(P156=0,0,P159*P121/P156)</f>
        <v>1128.50280274545</v>
      </c>
      <c r="Q136" s="76" t="n">
        <f aca="false">IF(Q156=0,0,Q159*Q121/Q156)</f>
        <v>0</v>
      </c>
      <c r="R136" s="76" t="n">
        <f aca="false">IF(R156=0,0,R159*R121/R156)</f>
        <v>0</v>
      </c>
      <c r="S136" s="76" t="n">
        <f aca="false">IF(S156=0,0,S159*S121/S156)</f>
        <v>0</v>
      </c>
      <c r="T136" s="76" t="n">
        <f aca="false">IF(T156=0,0,T159*T121/T156)</f>
        <v>0</v>
      </c>
      <c r="U136" s="76" t="n">
        <f aca="false">IF(U156=0,0,U159*U121/U156)</f>
        <v>0</v>
      </c>
      <c r="V136" s="76" t="n">
        <f aca="false">IF(V156=0,0,V159*V121/V156)</f>
        <v>0</v>
      </c>
      <c r="W136" s="76" t="n">
        <f aca="false">IF(W156=0,0,W159*W121/W156)</f>
        <v>0</v>
      </c>
      <c r="X136" s="76" t="n">
        <f aca="false">IF(X156=0,0,X159*X121/X156)</f>
        <v>0</v>
      </c>
      <c r="Y136" s="76" t="n">
        <f aca="false">IF(Y156=0,0,Y159*Y121/Y156)</f>
        <v>0</v>
      </c>
      <c r="Z136" s="76" t="n">
        <f aca="false">IF(Z156=0,0,Z159*Z121/Z156)</f>
        <v>0</v>
      </c>
      <c r="AA136" s="76" t="n">
        <f aca="false">IF(AA156=0,0,AA159*AA121/AA156)</f>
        <v>0</v>
      </c>
      <c r="AB136" s="76" t="n">
        <f aca="false">IF(AB156=0,0,AB159*AB121/AB156)</f>
        <v>0</v>
      </c>
    </row>
    <row r="137" customFormat="false" ht="15" hidden="false" customHeight="false" outlineLevel="0" collapsed="false">
      <c r="A137" s="59" t="s">
        <v>1224</v>
      </c>
      <c r="B137" s="60" t="s">
        <v>1188</v>
      </c>
      <c r="C137" s="61" t="n">
        <f aca="false">SUM(E137:P137)</f>
        <v>290481.627975875</v>
      </c>
      <c r="D137" s="61" t="n">
        <f aca="false">SUM(Q137:AB137)</f>
        <v>336792.468999992</v>
      </c>
      <c r="E137" s="62" t="n">
        <f aca="false">(E121-E122+E123+E124)*(1+Assumptions!$C$37)+E132+E133+E136</f>
        <v>22509.45</v>
      </c>
      <c r="F137" s="62" t="n">
        <f aca="false">(F121-F122+F123+F124)*(1+Assumptions!$C$37)+F132+F133+F136</f>
        <v>22323</v>
      </c>
      <c r="G137" s="62" t="n">
        <f aca="false">(G121-G122+G123+G124)*(1+Assumptions!$C$37)+G132+G133+G136</f>
        <v>25545</v>
      </c>
      <c r="H137" s="62" t="n">
        <f aca="false">(H121-H122+H123+H124)*(1+Assumptions!$C$37)+H132+H133+H136</f>
        <v>24691.4</v>
      </c>
      <c r="I137" s="62" t="n">
        <f aca="false">(I121-I122+I123+I124)*(1+Assumptions!$C$37)+I132+I133+I136</f>
        <v>25331.6</v>
      </c>
      <c r="J137" s="62" t="n">
        <f aca="false">(J121-J122+J123+J124)*(1+Assumptions!$C$37)+J132+J133+J136</f>
        <v>24691.4</v>
      </c>
      <c r="K137" s="62" t="n">
        <f aca="false">(K121-K122+K123+K124)*(1+Assumptions!$C$37)+K132+K133+K136</f>
        <v>23624.4</v>
      </c>
      <c r="L137" s="62" t="n">
        <f aca="false">(L121-L122+L123+L124)*(1+Assumptions!$C$37)+L132+L133+L136</f>
        <v>21917.2</v>
      </c>
      <c r="M137" s="62" t="n">
        <f aca="false">(M121-M122+M123+M124)*(1+Assumptions!$C$37)+M132+M133+M136</f>
        <v>24593.49</v>
      </c>
      <c r="N137" s="62" t="n">
        <f aca="false">(N121-N122+N123+N124)*(1+Assumptions!$C$37)+N132+N133+N136</f>
        <v>24910.36640625</v>
      </c>
      <c r="O137" s="62" t="n">
        <f aca="false">(O121-O122+O123+O124)*(1+Assumptions!$C$37)+O132+O133+O136</f>
        <v>25126.463940625</v>
      </c>
      <c r="P137" s="62" t="n">
        <f aca="false">(P121-P122+P123+P124)*(1+Assumptions!$C$37)+P132+P133+P136</f>
        <v>25217.8576290003</v>
      </c>
      <c r="Q137" s="62" t="n">
        <f aca="false">(Q121-Q122+Q123+Q124)*(1+Assumptions!$C$37)+Q132+Q133+Q136</f>
        <v>29182.003950171</v>
      </c>
      <c r="R137" s="62" t="n">
        <f aca="false">(R121-R122+R123+R124)*(1+Assumptions!$C$37)+R132+R133+R136</f>
        <v>28898.866712139</v>
      </c>
      <c r="S137" s="62" t="n">
        <f aca="false">(S121-S122+S123+S124)*(1+Assumptions!$C$37)+S132+S133+S136</f>
        <v>28857.9801556639</v>
      </c>
      <c r="T137" s="62" t="n">
        <f aca="false">(T121-T122+T123+T124)*(1+Assumptions!$C$37)+T132+T133+T136</f>
        <v>27894.9959799821</v>
      </c>
      <c r="U137" s="62" t="n">
        <f aca="false">(U121-U122+U123+U124)*(1+Assumptions!$C$37)+U132+U133+U136</f>
        <v>28618.5001067844</v>
      </c>
      <c r="V137" s="62" t="n">
        <f aca="false">(V121-V122+V123+V124)*(1+Assumptions!$C$37)+V132+V133+V136</f>
        <v>27895.4590810502</v>
      </c>
      <c r="W137" s="62" t="n">
        <f aca="false">(W121-W122+W123+W124)*(1+Assumptions!$C$37)+W132+W133+W136</f>
        <v>26690.4167227597</v>
      </c>
      <c r="X137" s="62" t="n">
        <f aca="false">(X121-X122+X123+X124)*(1+Assumptions!$C$37)+X132+X133+X136</f>
        <v>24762.3584804886</v>
      </c>
      <c r="Y137" s="62" t="n">
        <f aca="false">(Y121-Y122+Y123+Y124)*(1+Assumptions!$C$37)+Y132+Y133+Y136</f>
        <v>28136.4609810244</v>
      </c>
      <c r="Z137" s="62" t="n">
        <f aca="false">(Z121-Z122+Z123+Z124)*(1+Assumptions!$C$37)+Z132+Z133+Z136</f>
        <v>28859.4829275772</v>
      </c>
      <c r="AA137" s="62" t="n">
        <f aca="false">(AA121-AA122+AA123+AA124)*(1+Assumptions!$C$37)+AA132+AA133+AA136</f>
        <v>29100.490243823</v>
      </c>
      <c r="AB137" s="62" t="n">
        <f aca="false">(AB121-AB122+AB123+AB124)*(1+Assumptions!$C$37)+AB132+AB133+AB136</f>
        <v>27895.4536585285</v>
      </c>
    </row>
    <row r="138" customFormat="false" ht="15" hidden="false" customHeight="false" outlineLevel="0" collapsed="false">
      <c r="A138" s="27" t="s">
        <v>1225</v>
      </c>
      <c r="B138" s="63"/>
      <c r="C138" s="74" t="n">
        <f aca="false">P138</f>
        <v>8.910895505625</v>
      </c>
      <c r="D138" s="74" t="n">
        <f aca="false">AB138</f>
        <v>8.91089108910891</v>
      </c>
      <c r="E138" s="86" t="n">
        <f aca="false">E21+E22+E23+E24+E25</f>
        <v>9</v>
      </c>
      <c r="F138" s="86" t="n">
        <f aca="false">F21+F22+F23+F24+F25</f>
        <v>9</v>
      </c>
      <c r="G138" s="86" t="n">
        <f aca="false">G21+G22+G23+G24+G25</f>
        <v>9</v>
      </c>
      <c r="H138" s="86" t="n">
        <f aca="false">H21+H22+H23+H24+H25</f>
        <v>9</v>
      </c>
      <c r="I138" s="86" t="n">
        <f aca="false">I21+I22+I23+I24+I25</f>
        <v>9</v>
      </c>
      <c r="J138" s="86" t="n">
        <f aca="false">J21+J22+J23+J24+J25</f>
        <v>9</v>
      </c>
      <c r="K138" s="86" t="n">
        <f aca="false">K21+K22+K23+K24+K25</f>
        <v>9</v>
      </c>
      <c r="L138" s="86" t="n">
        <f aca="false">L21+L22+L23+L24+L25</f>
        <v>9</v>
      </c>
      <c r="M138" s="86" t="n">
        <f aca="false">M21+M22+M23+M24+M25</f>
        <v>8.955</v>
      </c>
      <c r="N138" s="86" t="n">
        <f aca="false">N21+N22+N23+N24+N25</f>
        <v>8.910225</v>
      </c>
      <c r="O138" s="86" t="n">
        <f aca="false">O21+O22+O23+O24+O25</f>
        <v>8.910673875</v>
      </c>
      <c r="P138" s="86" t="n">
        <f aca="false">P21+P22+P23+P24+P25</f>
        <v>8.910895505625</v>
      </c>
      <c r="Q138" s="86" t="n">
        <f aca="false">Q21+Q22+Q23+Q24+Q25</f>
        <v>8.91089215309687</v>
      </c>
      <c r="R138" s="86" t="n">
        <f aca="false">R21+R22+R23+R24+R25</f>
        <v>8.91089106170639</v>
      </c>
      <c r="S138" s="86" t="n">
        <f aca="false">S21+S22+S23+S24+S25</f>
        <v>8.91089108392598</v>
      </c>
      <c r="T138" s="86" t="n">
        <f aca="false">T21+T22+T23+T24+T25</f>
        <v>8.91089108927184</v>
      </c>
      <c r="U138" s="86" t="n">
        <f aca="false">U21+U22+U23+U24+U25</f>
        <v>8.91089108913401</v>
      </c>
      <c r="V138" s="86" t="n">
        <f aca="false">V21+V22+V23+V24+V25</f>
        <v>8.91089108910797</v>
      </c>
      <c r="W138" s="86" t="n">
        <f aca="false">W21+W22+W23+W24+W25</f>
        <v>8.91089108910879</v>
      </c>
      <c r="X138" s="86" t="n">
        <f aca="false">X21+X22+X23+X24+X25</f>
        <v>8.91089108910892</v>
      </c>
      <c r="Y138" s="86" t="n">
        <f aca="false">Y21+Y22+Y23+Y24+Y25</f>
        <v>8.91089108910891</v>
      </c>
      <c r="Z138" s="86" t="n">
        <f aca="false">Z21+Z22+Z23+Z24+Z25</f>
        <v>8.91089108910891</v>
      </c>
      <c r="AA138" s="86" t="n">
        <f aca="false">AA21+AA22+AA23+AA24+AA25</f>
        <v>8.91089108910891</v>
      </c>
      <c r="AB138" s="86" t="n">
        <f aca="false">AB21+AB22+AB23+AB24+AB25</f>
        <v>8.91089108910891</v>
      </c>
    </row>
    <row r="139" customFormat="false" ht="15" hidden="false" customHeight="false" outlineLevel="0" collapsed="false">
      <c r="A139" s="27" t="s">
        <v>1226</v>
      </c>
      <c r="B139" s="63" t="s">
        <v>1159</v>
      </c>
      <c r="C139" s="66" t="n">
        <f aca="false">SUM(E139:P139)</f>
        <v>256653.526607156</v>
      </c>
      <c r="D139" s="66" t="n">
        <f aca="false">SUM(Q139:AB139)</f>
        <v>262497.032235351</v>
      </c>
      <c r="E139" s="67" t="n">
        <f aca="false">IF(E$5="A",Inputs_Actuals!E213,E63+E64+E65+E66+E67)</f>
        <v>21450</v>
      </c>
      <c r="F139" s="67" t="n">
        <f aca="false">IF(F$5="A",Inputs_Actuals!F213,F63+F64+F65+F66+F67)</f>
        <v>21450</v>
      </c>
      <c r="G139" s="67" t="n">
        <f aca="false">IF(G$5="A",Inputs_Actuals!G213,G63+G64+G65+G66+G67)</f>
        <v>21450</v>
      </c>
      <c r="H139" s="67" t="n">
        <f aca="false">IF(H$5="A",Inputs_Actuals!H213,H63+H64+H65+H66+H67)</f>
        <v>21450</v>
      </c>
      <c r="I139" s="67" t="n">
        <f aca="false">IF(I$5="A",Inputs_Actuals!I213,I63+I64+I65+I66+I67)</f>
        <v>21450</v>
      </c>
      <c r="J139" s="67" t="n">
        <f aca="false">IF(J$5="A",Inputs_Actuals!J213,J63+J64+J65+J66+J67)</f>
        <v>21450</v>
      </c>
      <c r="K139" s="67" t="n">
        <f aca="false">IF(K$5="A",Inputs_Actuals!K213,K63+K64+K65+K66+K67)</f>
        <v>21450</v>
      </c>
      <c r="L139" s="67" t="n">
        <f aca="false">IF(L$5="A",Inputs_Actuals!L213,L63+L64+L65+L66+L67)</f>
        <v>21450</v>
      </c>
      <c r="M139" s="67" t="n">
        <f aca="false">IF(M$5="A",Inputs_Actuals!M213,M63+M64+M65+M66+M67)</f>
        <v>21342.75</v>
      </c>
      <c r="N139" s="67" t="n">
        <f aca="false">IF(N$5="A",Inputs_Actuals!N213,N63+N64+N65+N66+N67)</f>
        <v>21236.03625</v>
      </c>
      <c r="O139" s="67" t="n">
        <f aca="false">IF(O$5="A",Inputs_Actuals!O213,O63+O64+O65+O66+O67)</f>
        <v>21237.10606875</v>
      </c>
      <c r="P139" s="67" t="n">
        <f aca="false">IF(P$5="A",Inputs_Actuals!P213,P63+P64+P65+P66+P67)</f>
        <v>21237.6342884063</v>
      </c>
      <c r="Q139" s="67" t="n">
        <f aca="false">IF(Q$5="A",Inputs_Actuals!Q213,Q63+Q64+Q65+Q66+Q67)</f>
        <v>21874.7550871606</v>
      </c>
      <c r="R139" s="67" t="n">
        <f aca="false">IF(R$5="A",Inputs_Actuals!R213,R63+R64+R65+R66+R67)</f>
        <v>21874.7524079789</v>
      </c>
      <c r="S139" s="67" t="n">
        <f aca="false">IF(S$5="A",Inputs_Actuals!S213,S63+S64+S65+S66+S67)</f>
        <v>21874.7524625243</v>
      </c>
      <c r="T139" s="67" t="n">
        <f aca="false">IF(T$5="A",Inputs_Actuals!T213,T63+T64+T65+T66+T67)</f>
        <v>21874.7524756475</v>
      </c>
      <c r="U139" s="67" t="n">
        <f aca="false">IF(U$5="A",Inputs_Actuals!U213,U63+U64+U65+U66+U67)</f>
        <v>21874.7524753091</v>
      </c>
      <c r="V139" s="67" t="n">
        <f aca="false">IF(V$5="A",Inputs_Actuals!V213,V63+V64+V65+V66+V67)</f>
        <v>21874.7524752452</v>
      </c>
      <c r="W139" s="67" t="n">
        <f aca="false">IF(W$5="A",Inputs_Actuals!W213,W63+W64+W65+W66+W67)</f>
        <v>21874.7524752472</v>
      </c>
      <c r="X139" s="67" t="n">
        <f aca="false">IF(X$5="A",Inputs_Actuals!X213,X63+X64+X65+X66+X67)</f>
        <v>21874.7524752475</v>
      </c>
      <c r="Y139" s="67" t="n">
        <f aca="false">IF(Y$5="A",Inputs_Actuals!Y213,Y63+Y64+Y65+Y66+Y67)</f>
        <v>21874.7524752475</v>
      </c>
      <c r="Z139" s="67" t="n">
        <f aca="false">IF(Z$5="A",Inputs_Actuals!Z213,Z63+Z64+Z65+Z66+Z67)</f>
        <v>21874.7524752475</v>
      </c>
      <c r="AA139" s="67" t="n">
        <f aca="false">IF(AA$5="A",Inputs_Actuals!AA213,AA63+AA64+AA65+AA66+AA67)</f>
        <v>21874.7524752475</v>
      </c>
      <c r="AB139" s="67" t="n">
        <f aca="false">IF(AB$5="A",Inputs_Actuals!AB213,AB63+AB64+AB65+AB66+AB67)</f>
        <v>21874.7524752475</v>
      </c>
    </row>
    <row r="140" customFormat="false" ht="15" hidden="false" customHeight="false" outlineLevel="0" collapsed="false">
      <c r="A140" s="27" t="s">
        <v>1227</v>
      </c>
      <c r="B140" s="63" t="s">
        <v>1161</v>
      </c>
      <c r="C140" s="66" t="n">
        <f aca="false">SUM(E140:P140)</f>
        <v>21403.0931412066</v>
      </c>
      <c r="D140" s="66" t="n">
        <f aca="false">SUM(Q140:AB140)</f>
        <v>21874.7525757639</v>
      </c>
      <c r="E140" s="67" t="n">
        <f aca="false">E139*Assumptions!E$214</f>
        <v>858</v>
      </c>
      <c r="F140" s="67" t="n">
        <f aca="false">F139*Assumptions!F$214</f>
        <v>1072.5</v>
      </c>
      <c r="G140" s="67" t="n">
        <f aca="false">G139*Assumptions!G$214</f>
        <v>1072.5</v>
      </c>
      <c r="H140" s="67" t="n">
        <f aca="false">H139*Assumptions!H$214</f>
        <v>1930.5</v>
      </c>
      <c r="I140" s="67" t="n">
        <f aca="false">I139*Assumptions!I$214</f>
        <v>1287</v>
      </c>
      <c r="J140" s="67" t="n">
        <f aca="false">J139*Assumptions!J$214</f>
        <v>1930.5</v>
      </c>
      <c r="K140" s="67" t="n">
        <f aca="false">K139*Assumptions!K$214</f>
        <v>3003</v>
      </c>
      <c r="L140" s="67" t="n">
        <f aca="false">L139*Assumptions!L$214</f>
        <v>4719</v>
      </c>
      <c r="M140" s="67" t="n">
        <f aca="false">M139*Assumptions!M$214</f>
        <v>1707.42</v>
      </c>
      <c r="N140" s="67" t="n">
        <f aca="false">N139*Assumptions!N$214</f>
        <v>1061.8018125</v>
      </c>
      <c r="O140" s="67" t="n">
        <f aca="false">O139*Assumptions!O$214</f>
        <v>849.48424275</v>
      </c>
      <c r="P140" s="67" t="n">
        <f aca="false">P139*Assumptions!P$214</f>
        <v>1911.38708595656</v>
      </c>
      <c r="Q140" s="67" t="n">
        <f aca="false">Q139*Assumptions!Q$214</f>
        <v>874.990203486426</v>
      </c>
      <c r="R140" s="67" t="n">
        <f aca="false">R139*Assumptions!R$214</f>
        <v>1093.73762039895</v>
      </c>
      <c r="S140" s="67" t="n">
        <f aca="false">S139*Assumptions!S$214</f>
        <v>1093.73762312622</v>
      </c>
      <c r="T140" s="67" t="n">
        <f aca="false">T139*Assumptions!T$214</f>
        <v>1968.72772280827</v>
      </c>
      <c r="U140" s="67" t="n">
        <f aca="false">U139*Assumptions!U$214</f>
        <v>1312.48514851855</v>
      </c>
      <c r="V140" s="67" t="n">
        <f aca="false">V139*Assumptions!V$214</f>
        <v>1968.72772277207</v>
      </c>
      <c r="W140" s="67" t="n">
        <f aca="false">W139*Assumptions!W$214</f>
        <v>3062.46534653461</v>
      </c>
      <c r="X140" s="67" t="n">
        <f aca="false">X139*Assumptions!X$214</f>
        <v>4812.44554455446</v>
      </c>
      <c r="Y140" s="67" t="n">
        <f aca="false">Y139*Assumptions!Y$214</f>
        <v>1749.9801980198</v>
      </c>
      <c r="Z140" s="67" t="n">
        <f aca="false">Z139*Assumptions!Z$214</f>
        <v>1093.73762376238</v>
      </c>
      <c r="AA140" s="67" t="n">
        <f aca="false">AA139*Assumptions!AA$214</f>
        <v>874.990099009901</v>
      </c>
      <c r="AB140" s="67" t="n">
        <f aca="false">AB139*Assumptions!AB$214</f>
        <v>1968.72772277228</v>
      </c>
    </row>
    <row r="141" customFormat="false" ht="15" hidden="false" customHeight="false" outlineLevel="0" collapsed="false">
      <c r="A141" s="27" t="s">
        <v>1228</v>
      </c>
      <c r="B141" s="63" t="s">
        <v>1163</v>
      </c>
      <c r="C141" s="66" t="n">
        <f aca="false">SUM(E141:P141)</f>
        <v>21387.7938839297</v>
      </c>
      <c r="D141" s="66" t="n">
        <f aca="false">SUM(Q141:AB141)</f>
        <v>21874.7526862792</v>
      </c>
      <c r="E141" s="76" t="n">
        <f aca="false">E139/12</f>
        <v>1787.5</v>
      </c>
      <c r="F141" s="76" t="n">
        <f aca="false">F139/12</f>
        <v>1787.5</v>
      </c>
      <c r="G141" s="76" t="n">
        <f aca="false">G139/12</f>
        <v>1787.5</v>
      </c>
      <c r="H141" s="76" t="n">
        <f aca="false">H139/12</f>
        <v>1787.5</v>
      </c>
      <c r="I141" s="76" t="n">
        <f aca="false">I139/12</f>
        <v>1787.5</v>
      </c>
      <c r="J141" s="76" t="n">
        <f aca="false">J139/12</f>
        <v>1787.5</v>
      </c>
      <c r="K141" s="76" t="n">
        <f aca="false">K139/12</f>
        <v>1787.5</v>
      </c>
      <c r="L141" s="76" t="n">
        <f aca="false">L139/12</f>
        <v>1787.5</v>
      </c>
      <c r="M141" s="76" t="n">
        <f aca="false">M139/12</f>
        <v>1778.5625</v>
      </c>
      <c r="N141" s="76" t="n">
        <f aca="false">N139/12</f>
        <v>1769.6696875</v>
      </c>
      <c r="O141" s="76" t="n">
        <f aca="false">O139/12</f>
        <v>1769.7588390625</v>
      </c>
      <c r="P141" s="76" t="n">
        <f aca="false">P139/12</f>
        <v>1769.80285736719</v>
      </c>
      <c r="Q141" s="76" t="n">
        <f aca="false">Q139/12</f>
        <v>1822.89625726339</v>
      </c>
      <c r="R141" s="76" t="n">
        <f aca="false">R139/12</f>
        <v>1822.89603399824</v>
      </c>
      <c r="S141" s="76" t="n">
        <f aca="false">S139/12</f>
        <v>1822.89603854369</v>
      </c>
      <c r="T141" s="76" t="n">
        <f aca="false">T139/12</f>
        <v>1822.89603963729</v>
      </c>
      <c r="U141" s="76" t="n">
        <f aca="false">U139/12</f>
        <v>1822.8960396091</v>
      </c>
      <c r="V141" s="76" t="n">
        <f aca="false">V139/12</f>
        <v>1822.89603960377</v>
      </c>
      <c r="W141" s="76" t="n">
        <f aca="false">W139/12</f>
        <v>1822.89603960394</v>
      </c>
      <c r="X141" s="76" t="n">
        <f aca="false">X139/12</f>
        <v>1822.89603960396</v>
      </c>
      <c r="Y141" s="76" t="n">
        <f aca="false">Y139/12</f>
        <v>1822.89603960396</v>
      </c>
      <c r="Z141" s="76" t="n">
        <f aca="false">Z139/12</f>
        <v>1822.89603960396</v>
      </c>
      <c r="AA141" s="76" t="n">
        <f aca="false">AA139/12</f>
        <v>1822.89603960396</v>
      </c>
      <c r="AB141" s="76" t="n">
        <f aca="false">AB139/12</f>
        <v>1822.89603960396</v>
      </c>
    </row>
    <row r="142" customFormat="false" ht="15" hidden="false" customHeight="false" outlineLevel="0" collapsed="false">
      <c r="A142" s="27" t="s">
        <v>1229</v>
      </c>
      <c r="B142" s="63" t="s">
        <v>1165</v>
      </c>
      <c r="C142" s="66" t="n">
        <f aca="false">SUM(E142:P142)</f>
        <v>42775.5877678594</v>
      </c>
      <c r="D142" s="66" t="n">
        <f aca="false">SUM(Q142:AB142)</f>
        <v>43749.5053725584</v>
      </c>
      <c r="E142" s="76" t="n">
        <f aca="false">E139*2/12</f>
        <v>3575</v>
      </c>
      <c r="F142" s="76" t="n">
        <f aca="false">F139*2/12</f>
        <v>3575</v>
      </c>
      <c r="G142" s="76" t="n">
        <f aca="false">G139*2/12</f>
        <v>3575</v>
      </c>
      <c r="H142" s="76" t="n">
        <f aca="false">H139*2/12</f>
        <v>3575</v>
      </c>
      <c r="I142" s="76" t="n">
        <f aca="false">I139*2/12</f>
        <v>3575</v>
      </c>
      <c r="J142" s="76" t="n">
        <f aca="false">J139*2/12</f>
        <v>3575</v>
      </c>
      <c r="K142" s="76" t="n">
        <f aca="false">K139*2/12</f>
        <v>3575</v>
      </c>
      <c r="L142" s="76" t="n">
        <f aca="false">L139*2/12</f>
        <v>3575</v>
      </c>
      <c r="M142" s="76" t="n">
        <f aca="false">M139*2/12</f>
        <v>3557.125</v>
      </c>
      <c r="N142" s="76" t="n">
        <f aca="false">N139*2/12</f>
        <v>3539.339375</v>
      </c>
      <c r="O142" s="76" t="n">
        <f aca="false">O139*2/12</f>
        <v>3539.517678125</v>
      </c>
      <c r="P142" s="76" t="n">
        <f aca="false">P139*2/12</f>
        <v>3539.60571473438</v>
      </c>
      <c r="Q142" s="76" t="n">
        <f aca="false">Q139*2/12</f>
        <v>3645.79251452677</v>
      </c>
      <c r="R142" s="76" t="n">
        <f aca="false">R139*2/12</f>
        <v>3645.79206799648</v>
      </c>
      <c r="S142" s="76" t="n">
        <f aca="false">S139*2/12</f>
        <v>3645.79207708738</v>
      </c>
      <c r="T142" s="76" t="n">
        <f aca="false">T139*2/12</f>
        <v>3645.79207927458</v>
      </c>
      <c r="U142" s="76" t="n">
        <f aca="false">U139*2/12</f>
        <v>3645.79207921819</v>
      </c>
      <c r="V142" s="76" t="n">
        <f aca="false">V139*2/12</f>
        <v>3645.79207920754</v>
      </c>
      <c r="W142" s="76" t="n">
        <f aca="false">W139*2/12</f>
        <v>3645.79207920787</v>
      </c>
      <c r="X142" s="76" t="n">
        <f aca="false">X139*2/12</f>
        <v>3645.79207920792</v>
      </c>
      <c r="Y142" s="76" t="n">
        <f aca="false">Y139*2/12</f>
        <v>3645.79207920792</v>
      </c>
      <c r="Z142" s="76" t="n">
        <f aca="false">Z139*2/12</f>
        <v>3645.79207920792</v>
      </c>
      <c r="AA142" s="76" t="n">
        <f aca="false">AA139*2/12</f>
        <v>3645.79207920792</v>
      </c>
      <c r="AB142" s="76" t="n">
        <f aca="false">AB139*2/12</f>
        <v>3645.79207920792</v>
      </c>
    </row>
    <row r="143" customFormat="false" ht="15" hidden="false" customHeight="false" outlineLevel="0" collapsed="false">
      <c r="A143" s="27" t="s">
        <v>1230</v>
      </c>
      <c r="B143" s="63" t="s">
        <v>1167</v>
      </c>
      <c r="C143" s="66" t="n">
        <f aca="false">SUM(E143:P143)</f>
        <v>21450</v>
      </c>
      <c r="D143" s="66" t="n">
        <f aca="false">SUM(Q143:AB143)</f>
        <v>21874.7524752452</v>
      </c>
      <c r="E143" s="67" t="n">
        <f aca="false">IF(E$5="A",Inputs_Actuals!E214,IF(Assumptions!E$204=6,E139,0))</f>
        <v>0</v>
      </c>
      <c r="F143" s="67" t="n">
        <f aca="false">IF(F$5="A",Inputs_Actuals!F214,IF(Assumptions!F$204=6,F139,0))</f>
        <v>0</v>
      </c>
      <c r="G143" s="67" t="n">
        <f aca="false">IF(G$5="A",Inputs_Actuals!G214,IF(Assumptions!G$204=6,G139,0))</f>
        <v>0</v>
      </c>
      <c r="H143" s="67" t="n">
        <f aca="false">IF(H$5="A",Inputs_Actuals!H214,IF(Assumptions!H$204=6,H139,0))</f>
        <v>0</v>
      </c>
      <c r="I143" s="67" t="n">
        <f aca="false">IF(I$5="A",Inputs_Actuals!I214,IF(Assumptions!I$204=6,I139,0))</f>
        <v>0</v>
      </c>
      <c r="J143" s="67" t="n">
        <f aca="false">IF(J$5="A",Inputs_Actuals!J214,IF(Assumptions!J$204=6,J139,0))</f>
        <v>21450</v>
      </c>
      <c r="K143" s="67" t="n">
        <f aca="false">IF(K$5="A",Inputs_Actuals!K214,IF(Assumptions!K$204=6,K139,0))</f>
        <v>0</v>
      </c>
      <c r="L143" s="67" t="n">
        <f aca="false">IF(L$5="A",Inputs_Actuals!L214,IF(Assumptions!L$204=6,L139,0))</f>
        <v>0</v>
      </c>
      <c r="M143" s="67" t="n">
        <f aca="false">IF(M$5="A",Inputs_Actuals!M214,IF(Assumptions!M$204=6,M139,0))</f>
        <v>0</v>
      </c>
      <c r="N143" s="67" t="n">
        <f aca="false">IF(N$5="A",Inputs_Actuals!N214,IF(Assumptions!N$204=6,N139,0))</f>
        <v>0</v>
      </c>
      <c r="O143" s="67" t="n">
        <f aca="false">IF(O$5="A",Inputs_Actuals!O214,IF(Assumptions!O$204=6,O139,0))</f>
        <v>0</v>
      </c>
      <c r="P143" s="67" t="n">
        <f aca="false">IF(P$5="A",Inputs_Actuals!P214,IF(Assumptions!P$204=6,P139,0))</f>
        <v>0</v>
      </c>
      <c r="Q143" s="67" t="n">
        <f aca="false">IF(Q$5="A",Inputs_Actuals!Q214,IF(Assumptions!Q$204=6,Q139,0))</f>
        <v>0</v>
      </c>
      <c r="R143" s="67" t="n">
        <f aca="false">IF(R$5="A",Inputs_Actuals!R214,IF(Assumptions!R$204=6,R139,0))</f>
        <v>0</v>
      </c>
      <c r="S143" s="67" t="n">
        <f aca="false">IF(S$5="A",Inputs_Actuals!S214,IF(Assumptions!S$204=6,S139,0))</f>
        <v>0</v>
      </c>
      <c r="T143" s="67" t="n">
        <f aca="false">IF(T$5="A",Inputs_Actuals!T214,IF(Assumptions!T$204=6,T139,0))</f>
        <v>0</v>
      </c>
      <c r="U143" s="67" t="n">
        <f aca="false">IF(U$5="A",Inputs_Actuals!U214,IF(Assumptions!U$204=6,U139,0))</f>
        <v>0</v>
      </c>
      <c r="V143" s="67" t="n">
        <f aca="false">IF(V$5="A",Inputs_Actuals!V214,IF(Assumptions!V$204=6,V139,0))</f>
        <v>21874.7524752452</v>
      </c>
      <c r="W143" s="67" t="n">
        <f aca="false">IF(W$5="A",Inputs_Actuals!W214,IF(Assumptions!W$204=6,W139,0))</f>
        <v>0</v>
      </c>
      <c r="X143" s="67" t="n">
        <f aca="false">IF(X$5="A",Inputs_Actuals!X214,IF(Assumptions!X$204=6,X139,0))</f>
        <v>0</v>
      </c>
      <c r="Y143" s="67" t="n">
        <f aca="false">IF(Y$5="A",Inputs_Actuals!Y214,IF(Assumptions!Y$204=6,Y139,0))</f>
        <v>0</v>
      </c>
      <c r="Z143" s="67" t="n">
        <f aca="false">IF(Z$5="A",Inputs_Actuals!Z214,IF(Assumptions!Z$204=6,Z139,0))</f>
        <v>0</v>
      </c>
      <c r="AA143" s="67" t="n">
        <f aca="false">IF(AA$5="A",Inputs_Actuals!AA214,IF(Assumptions!AA$204=6,AA139,0))</f>
        <v>0</v>
      </c>
      <c r="AB143" s="67" t="n">
        <f aca="false">IF(AB$5="A",Inputs_Actuals!AB214,IF(Assumptions!AB$204=6,AB139,0))</f>
        <v>0</v>
      </c>
    </row>
    <row r="144" customFormat="false" ht="15" hidden="false" customHeight="false" outlineLevel="0" collapsed="false">
      <c r="A144" s="27" t="s">
        <v>1231</v>
      </c>
      <c r="B144" s="63" t="s">
        <v>1169</v>
      </c>
      <c r="C144" s="66" t="n">
        <f aca="false">SUM(E144:P144)</f>
        <v>21387.7938839297</v>
      </c>
      <c r="D144" s="66" t="n">
        <f aca="false">SUM(Q144:AB144)</f>
        <v>21874.7526862792</v>
      </c>
      <c r="E144" s="67" t="n">
        <f aca="false">IF(E$5="A",Inputs_Actuals!E215,IF(Assumptions!E$204=11,0/(1+Assumptions!$C$37)+2*E141,IF(Assumptions!E$204=12,0/(1+Assumptions!$C$37)+E141,0)))</f>
        <v>0</v>
      </c>
      <c r="F144" s="67" t="n">
        <f aca="false">IF(F$5="A",Inputs_Actuals!F215,IF(Assumptions!F$204=11,E152/(1+Assumptions!$C$37)+2*F141,IF(Assumptions!F$204=12,E152/(1+Assumptions!$C$37)+F141,0)))</f>
        <v>0</v>
      </c>
      <c r="G144" s="67" t="n">
        <f aca="false">IF(G$5="A",Inputs_Actuals!G215,IF(Assumptions!G$204=11,F152/(1+Assumptions!$C$37)+2*G141,IF(Assumptions!G$204=12,F152/(1+Assumptions!$C$37)+G141,0)))</f>
        <v>0</v>
      </c>
      <c r="H144" s="67" t="n">
        <f aca="false">IF(H$5="A",Inputs_Actuals!H215,IF(Assumptions!H$204=11,G152/(1+Assumptions!$C$37)+2*H141,IF(Assumptions!H$204=12,G152/(1+Assumptions!$C$37)+H141,0)))</f>
        <v>0</v>
      </c>
      <c r="I144" s="67" t="n">
        <f aca="false">IF(I$5="A",Inputs_Actuals!I215,IF(Assumptions!I$204=11,H152/(1+Assumptions!$C$37)+2*I141,IF(Assumptions!I$204=12,H152/(1+Assumptions!$C$37)+I141,0)))</f>
        <v>0</v>
      </c>
      <c r="J144" s="67" t="n">
        <f aca="false">IF(J$5="A",Inputs_Actuals!J215,IF(Assumptions!J$204=11,I152/(1+Assumptions!$C$37)+2*J141,IF(Assumptions!J$204=12,I152/(1+Assumptions!$C$37)+J141,0)))</f>
        <v>0</v>
      </c>
      <c r="K144" s="67" t="n">
        <f aca="false">IF(K$5="A",Inputs_Actuals!K215,IF(Assumptions!K$204=11,J152/(1+Assumptions!$C$37)+2*K141,IF(Assumptions!K$204=12,J152/(1+Assumptions!$C$37)+K141,0)))</f>
        <v>0</v>
      </c>
      <c r="L144" s="67" t="n">
        <f aca="false">IF(L$5="A",Inputs_Actuals!L215,IF(Assumptions!L$204=11,K152/(1+Assumptions!$C$37)+2*L141,IF(Assumptions!L$204=12,K152/(1+Assumptions!$C$37)+L141,0)))</f>
        <v>0</v>
      </c>
      <c r="M144" s="67" t="n">
        <f aca="false">IF(M$5="A",Inputs_Actuals!M215,IF(Assumptions!M$204=11,L152/(1+Assumptions!$C$37)+2*M141,IF(Assumptions!M$204=12,L152/(1+Assumptions!$C$37)+M141,0)))</f>
        <v>0</v>
      </c>
      <c r="N144" s="67" t="n">
        <f aca="false">IF(N$5="A",Inputs_Actuals!N215,IF(Assumptions!N$204=11,M152/(1+Assumptions!$C$37)+2*N141,IF(Assumptions!N$204=12,M152/(1+Assumptions!$C$37)+N141,0)))</f>
        <v>0</v>
      </c>
      <c r="O144" s="67" t="n">
        <f aca="false">IF(O$5="A",Inputs_Actuals!O215,IF(Assumptions!O$204=11,N152/(1+Assumptions!$C$37)+2*O141,IF(Assumptions!O$204=12,N152/(1+Assumptions!$C$37)+O141,0)))</f>
        <v>21387.749865625</v>
      </c>
      <c r="P144" s="67" t="n">
        <f aca="false">IF(P$5="A",Inputs_Actuals!P215,IF(Assumptions!P$204=11,O152/(1+Assumptions!$C$37)+2*P141,IF(Assumptions!P$204=12,O152/(1+Assumptions!$C$37)+P141,0)))</f>
        <v>0.0440183046841867</v>
      </c>
      <c r="Q144" s="67" t="n">
        <f aca="false">IF(Q$5="A",Inputs_Actuals!Q215,IF(Assumptions!Q$204=11,P152/(1+Assumptions!$C$37)+2*Q141,IF(Assumptions!Q$204=12,P152/(1+Assumptions!$C$37)+Q141,0)))</f>
        <v>0</v>
      </c>
      <c r="R144" s="67" t="n">
        <f aca="false">IF(R$5="A",Inputs_Actuals!R215,IF(Assumptions!R$204=11,Q152/(1+Assumptions!$C$37)+2*R141,IF(Assumptions!R$204=12,Q152/(1+Assumptions!$C$37)+R141,0)))</f>
        <v>0</v>
      </c>
      <c r="S144" s="67" t="n">
        <f aca="false">IF(S$5="A",Inputs_Actuals!S215,IF(Assumptions!S$204=11,R152/(1+Assumptions!$C$37)+2*S141,IF(Assumptions!S$204=12,R152/(1+Assumptions!$C$37)+S141,0)))</f>
        <v>0</v>
      </c>
      <c r="T144" s="67" t="n">
        <f aca="false">IF(T$5="A",Inputs_Actuals!T215,IF(Assumptions!T$204=11,S152/(1+Assumptions!$C$37)+2*T141,IF(Assumptions!T$204=12,S152/(1+Assumptions!$C$37)+T141,0)))</f>
        <v>0</v>
      </c>
      <c r="U144" s="67" t="n">
        <f aca="false">IF(U$5="A",Inputs_Actuals!U215,IF(Assumptions!U$204=11,T152/(1+Assumptions!$C$37)+2*U141,IF(Assumptions!U$204=12,T152/(1+Assumptions!$C$37)+U141,0)))</f>
        <v>0</v>
      </c>
      <c r="V144" s="67" t="n">
        <f aca="false">IF(V$5="A",Inputs_Actuals!V215,IF(Assumptions!V$204=11,U152/(1+Assumptions!$C$37)+2*V141,IF(Assumptions!V$204=12,U152/(1+Assumptions!$C$37)+V141,0)))</f>
        <v>0</v>
      </c>
      <c r="W144" s="67" t="n">
        <f aca="false">IF(W$5="A",Inputs_Actuals!W215,IF(Assumptions!W$204=11,V152/(1+Assumptions!$C$37)+2*W141,IF(Assumptions!W$204=12,V152/(1+Assumptions!$C$37)+W141,0)))</f>
        <v>0</v>
      </c>
      <c r="X144" s="67" t="n">
        <f aca="false">IF(X$5="A",Inputs_Actuals!X215,IF(Assumptions!X$204=11,W152/(1+Assumptions!$C$37)+2*X141,IF(Assumptions!X$204=12,W152/(1+Assumptions!$C$37)+X141,0)))</f>
        <v>0</v>
      </c>
      <c r="Y144" s="67" t="n">
        <f aca="false">IF(Y$5="A",Inputs_Actuals!Y215,IF(Assumptions!Y$204=11,X152/(1+Assumptions!$C$37)+2*Y141,IF(Assumptions!Y$204=12,X152/(1+Assumptions!$C$37)+Y141,0)))</f>
        <v>0</v>
      </c>
      <c r="Z144" s="67" t="n">
        <f aca="false">IF(Z$5="A",Inputs_Actuals!Z215,IF(Assumptions!Z$204=11,Y152/(1+Assumptions!$C$37)+2*Z141,IF(Assumptions!Z$204=12,Y152/(1+Assumptions!$C$37)+Z141,0)))</f>
        <v>0</v>
      </c>
      <c r="AA144" s="67" t="n">
        <f aca="false">IF(AA$5="A",Inputs_Actuals!AA215,IF(Assumptions!AA$204=11,Z152/(1+Assumptions!$C$37)+2*AA141,IF(Assumptions!AA$204=12,Z152/(1+Assumptions!$C$37)+AA141,0)))</f>
        <v>21874.7526862792</v>
      </c>
      <c r="AB144" s="67" t="n">
        <f aca="false">IF(AB$5="A",Inputs_Actuals!AB215,IF(Assumptions!AB$204=11,AA152/(1+Assumptions!$C$37)+2*AB141,IF(Assumptions!AB$204=12,AA152/(1+Assumptions!$C$37)+AB141,0)))</f>
        <v>0</v>
      </c>
    </row>
    <row r="145" customFormat="false" ht="15" hidden="false" customHeight="false" outlineLevel="0" collapsed="false">
      <c r="A145" s="27" t="s">
        <v>1232</v>
      </c>
      <c r="B145" s="63"/>
      <c r="C145" s="66" t="n">
        <f aca="false">SUM(E145:P145)</f>
        <v>299491.320491086</v>
      </c>
      <c r="D145" s="66" t="n">
        <f aca="false">SUM(Q145:AB145)</f>
        <v>306246.537396875</v>
      </c>
      <c r="E145" s="76" t="n">
        <f aca="false">E139+E143+E144</f>
        <v>21450</v>
      </c>
      <c r="F145" s="76" t="n">
        <f aca="false">F139+F143+F144</f>
        <v>21450</v>
      </c>
      <c r="G145" s="76" t="n">
        <f aca="false">G139+G143+G144</f>
        <v>21450</v>
      </c>
      <c r="H145" s="76" t="n">
        <f aca="false">H139+H143+H144</f>
        <v>21450</v>
      </c>
      <c r="I145" s="76" t="n">
        <f aca="false">I139+I143+I144</f>
        <v>21450</v>
      </c>
      <c r="J145" s="76" t="n">
        <f aca="false">J139+J143+J144</f>
        <v>42900</v>
      </c>
      <c r="K145" s="76" t="n">
        <f aca="false">K139+K143+K144</f>
        <v>21450</v>
      </c>
      <c r="L145" s="76" t="n">
        <f aca="false">L139+L143+L144</f>
        <v>21450</v>
      </c>
      <c r="M145" s="76" t="n">
        <f aca="false">M139+M143+M144</f>
        <v>21342.75</v>
      </c>
      <c r="N145" s="76" t="n">
        <f aca="false">N139+N143+N144</f>
        <v>21236.03625</v>
      </c>
      <c r="O145" s="76" t="n">
        <f aca="false">O139+O143+O144</f>
        <v>42624.855934375</v>
      </c>
      <c r="P145" s="76" t="n">
        <f aca="false">P139+P143+P144</f>
        <v>21237.6783067109</v>
      </c>
      <c r="Q145" s="76" t="n">
        <f aca="false">Q139+Q143+Q144</f>
        <v>21874.7550871606</v>
      </c>
      <c r="R145" s="76" t="n">
        <f aca="false">R139+R143+R144</f>
        <v>21874.7524079789</v>
      </c>
      <c r="S145" s="76" t="n">
        <f aca="false">S139+S143+S144</f>
        <v>21874.7524625243</v>
      </c>
      <c r="T145" s="76" t="n">
        <f aca="false">T139+T143+T144</f>
        <v>21874.7524756475</v>
      </c>
      <c r="U145" s="76" t="n">
        <f aca="false">U139+U143+U144</f>
        <v>21874.7524753091</v>
      </c>
      <c r="V145" s="76" t="n">
        <f aca="false">V139+V143+V144</f>
        <v>43749.5049504904</v>
      </c>
      <c r="W145" s="76" t="n">
        <f aca="false">W139+W143+W144</f>
        <v>21874.7524752472</v>
      </c>
      <c r="X145" s="76" t="n">
        <f aca="false">X139+X143+X144</f>
        <v>21874.7524752475</v>
      </c>
      <c r="Y145" s="76" t="n">
        <f aca="false">Y139+Y143+Y144</f>
        <v>21874.7524752475</v>
      </c>
      <c r="Z145" s="76" t="n">
        <f aca="false">Z139+Z143+Z144</f>
        <v>21874.7524752475</v>
      </c>
      <c r="AA145" s="76" t="n">
        <f aca="false">AA139+AA143+AA144</f>
        <v>43749.5051615267</v>
      </c>
      <c r="AB145" s="76" t="n">
        <f aca="false">AB139+AB143+AB144</f>
        <v>21874.7524752475</v>
      </c>
    </row>
    <row r="146" customFormat="false" ht="15" hidden="false" customHeight="false" outlineLevel="0" collapsed="false">
      <c r="A146" s="27" t="s">
        <v>1233</v>
      </c>
      <c r="B146" s="63" t="s">
        <v>1172</v>
      </c>
      <c r="C146" s="66" t="n">
        <f aca="false">SUM(E146:P146)</f>
        <v>71129.2236166329</v>
      </c>
      <c r="D146" s="66" t="n">
        <f aca="false">SUM(Q146:AB146)</f>
        <v>72733.5526317578</v>
      </c>
      <c r="E146" s="67" t="n">
        <f aca="false">IF(E$5="A",Inputs_Actuals!E216,E145*Assumptions!$C$37)</f>
        <v>5094.38</v>
      </c>
      <c r="F146" s="67" t="n">
        <f aca="false">IF(F$5="A",Inputs_Actuals!F216,F145*Assumptions!$C$37)</f>
        <v>5094.38</v>
      </c>
      <c r="G146" s="67" t="n">
        <f aca="false">IF(G$5="A",Inputs_Actuals!G216,G145*Assumptions!$C$37)</f>
        <v>5094.38</v>
      </c>
      <c r="H146" s="67" t="n">
        <f aca="false">IF(H$5="A",Inputs_Actuals!H216,H145*Assumptions!$C$37)</f>
        <v>5094.38</v>
      </c>
      <c r="I146" s="67" t="n">
        <f aca="false">IF(I$5="A",Inputs_Actuals!I216,I145*Assumptions!$C$37)</f>
        <v>5094.38</v>
      </c>
      <c r="J146" s="67" t="n">
        <f aca="false">IF(J$5="A",Inputs_Actuals!J216,J145*Assumptions!$C$37)</f>
        <v>10188.75</v>
      </c>
      <c r="K146" s="67" t="n">
        <f aca="false">IF(K$5="A",Inputs_Actuals!K216,K145*Assumptions!$C$37)</f>
        <v>5094.38</v>
      </c>
      <c r="L146" s="67" t="n">
        <f aca="false">IF(L$5="A",Inputs_Actuals!L216,L145*Assumptions!$C$37)</f>
        <v>5094.38</v>
      </c>
      <c r="M146" s="67" t="n">
        <f aca="false">IF(M$5="A",Inputs_Actuals!M216,M145*Assumptions!$C$37)</f>
        <v>5068.903125</v>
      </c>
      <c r="N146" s="67" t="n">
        <f aca="false">IF(N$5="A",Inputs_Actuals!N216,N145*Assumptions!$C$37)</f>
        <v>5043.558609375</v>
      </c>
      <c r="O146" s="67" t="n">
        <f aca="false">IF(O$5="A",Inputs_Actuals!O216,O145*Assumptions!$C$37)</f>
        <v>10123.4032844141</v>
      </c>
      <c r="P146" s="67" t="n">
        <f aca="false">IF(P$5="A",Inputs_Actuals!P216,P145*Assumptions!$C$37)</f>
        <v>5043.94859784385</v>
      </c>
      <c r="Q146" s="67" t="n">
        <f aca="false">IF(Q$5="A",Inputs_Actuals!Q216,Q145*Assumptions!$C$37)</f>
        <v>5195.25433320065</v>
      </c>
      <c r="R146" s="67" t="n">
        <f aca="false">IF(R$5="A",Inputs_Actuals!R216,R145*Assumptions!$C$37)</f>
        <v>5195.25369689499</v>
      </c>
      <c r="S146" s="67" t="n">
        <f aca="false">IF(S$5="A",Inputs_Actuals!S216,S145*Assumptions!$C$37)</f>
        <v>5195.25370984952</v>
      </c>
      <c r="T146" s="67" t="n">
        <f aca="false">IF(T$5="A",Inputs_Actuals!T216,T145*Assumptions!$C$37)</f>
        <v>5195.25371296628</v>
      </c>
      <c r="U146" s="67" t="n">
        <f aca="false">IF(U$5="A",Inputs_Actuals!U216,U145*Assumptions!$C$37)</f>
        <v>5195.25371288592</v>
      </c>
      <c r="V146" s="67" t="n">
        <f aca="false">IF(V$5="A",Inputs_Actuals!V216,V145*Assumptions!$C$37)</f>
        <v>10390.5074257415</v>
      </c>
      <c r="W146" s="67" t="n">
        <f aca="false">IF(W$5="A",Inputs_Actuals!W216,W145*Assumptions!$C$37)</f>
        <v>5195.25371287122</v>
      </c>
      <c r="X146" s="67" t="n">
        <f aca="false">IF(X$5="A",Inputs_Actuals!X216,X145*Assumptions!$C$37)</f>
        <v>5195.25371287129</v>
      </c>
      <c r="Y146" s="67" t="n">
        <f aca="false">IF(Y$5="A",Inputs_Actuals!Y216,Y145*Assumptions!$C$37)</f>
        <v>5195.25371287129</v>
      </c>
      <c r="Z146" s="67" t="n">
        <f aca="false">IF(Z$5="A",Inputs_Actuals!Z216,Z145*Assumptions!$C$37)</f>
        <v>5195.25371287129</v>
      </c>
      <c r="AA146" s="67" t="n">
        <f aca="false">IF(AA$5="A",Inputs_Actuals!AA216,AA145*Assumptions!$C$37)</f>
        <v>10390.5074758626</v>
      </c>
      <c r="AB146" s="67" t="n">
        <f aca="false">IF(AB$5="A",Inputs_Actuals!AB216,AB145*Assumptions!$C$37)</f>
        <v>5195.25371287129</v>
      </c>
    </row>
    <row r="147" customFormat="false" ht="15" hidden="false" customHeight="false" outlineLevel="0" collapsed="false">
      <c r="A147" s="27" t="s">
        <v>1234</v>
      </c>
      <c r="B147" s="63" t="s">
        <v>1174</v>
      </c>
      <c r="C147" s="66" t="n">
        <f aca="false">SUM(E147:P147)</f>
        <v>32944.0452540195</v>
      </c>
      <c r="D147" s="66" t="n">
        <f aca="false">SUM(Q147:AB147)</f>
        <v>33687.1191136563</v>
      </c>
      <c r="E147" s="67" t="n">
        <f aca="false">IF(E$5="A",Inputs_Actuals!E217,E145*Assumptions!$C$38)</f>
        <v>2359.5</v>
      </c>
      <c r="F147" s="67" t="n">
        <f aca="false">IF(F$5="A",Inputs_Actuals!F217,F145*Assumptions!$C$38)</f>
        <v>2359.5</v>
      </c>
      <c r="G147" s="67" t="n">
        <f aca="false">IF(G$5="A",Inputs_Actuals!G217,G145*Assumptions!$C$38)</f>
        <v>2359.5</v>
      </c>
      <c r="H147" s="67" t="n">
        <f aca="false">IF(H$5="A",Inputs_Actuals!H217,H145*Assumptions!$C$38)</f>
        <v>2359.5</v>
      </c>
      <c r="I147" s="67" t="n">
        <f aca="false">IF(I$5="A",Inputs_Actuals!I217,I145*Assumptions!$C$38)</f>
        <v>2359.5</v>
      </c>
      <c r="J147" s="67" t="n">
        <f aca="false">IF(J$5="A",Inputs_Actuals!J217,J145*Assumptions!$C$38)</f>
        <v>4719</v>
      </c>
      <c r="K147" s="67" t="n">
        <f aca="false">IF(K$5="A",Inputs_Actuals!K217,K145*Assumptions!$C$38)</f>
        <v>2359.5</v>
      </c>
      <c r="L147" s="67" t="n">
        <f aca="false">IF(L$5="A",Inputs_Actuals!L217,L145*Assumptions!$C$38)</f>
        <v>2359.5</v>
      </c>
      <c r="M147" s="67" t="n">
        <f aca="false">IF(M$5="A",Inputs_Actuals!M217,M145*Assumptions!$C$38)</f>
        <v>2347.7025</v>
      </c>
      <c r="N147" s="67" t="n">
        <f aca="false">IF(N$5="A",Inputs_Actuals!N217,N145*Assumptions!$C$38)</f>
        <v>2335.9639875</v>
      </c>
      <c r="O147" s="67" t="n">
        <f aca="false">IF(O$5="A",Inputs_Actuals!O217,O145*Assumptions!$C$38)</f>
        <v>4688.73415278125</v>
      </c>
      <c r="P147" s="67" t="n">
        <f aca="false">IF(P$5="A",Inputs_Actuals!P217,P145*Assumptions!$C$38)</f>
        <v>2336.1446137382</v>
      </c>
      <c r="Q147" s="67" t="n">
        <f aca="false">IF(Q$5="A",Inputs_Actuals!Q217,Q145*Assumptions!$C$38)</f>
        <v>2406.22305958767</v>
      </c>
      <c r="R147" s="67" t="n">
        <f aca="false">IF(R$5="A",Inputs_Actuals!R217,R145*Assumptions!$C$38)</f>
        <v>2406.22276487768</v>
      </c>
      <c r="S147" s="67" t="n">
        <f aca="false">IF(S$5="A",Inputs_Actuals!S217,S145*Assumptions!$C$38)</f>
        <v>2406.22277087767</v>
      </c>
      <c r="T147" s="67" t="n">
        <f aca="false">IF(T$5="A",Inputs_Actuals!T217,T145*Assumptions!$C$38)</f>
        <v>2406.22277232122</v>
      </c>
      <c r="U147" s="67" t="n">
        <f aca="false">IF(U$5="A",Inputs_Actuals!U217,U145*Assumptions!$C$38)</f>
        <v>2406.22277228401</v>
      </c>
      <c r="V147" s="67" t="n">
        <f aca="false">IF(V$5="A",Inputs_Actuals!V217,V145*Assumptions!$C$38)</f>
        <v>4812.44554455395</v>
      </c>
      <c r="W147" s="67" t="n">
        <f aca="false">IF(W$5="A",Inputs_Actuals!W217,W145*Assumptions!$C$38)</f>
        <v>2406.2227722772</v>
      </c>
      <c r="X147" s="67" t="n">
        <f aca="false">IF(X$5="A",Inputs_Actuals!X217,X145*Assumptions!$C$38)</f>
        <v>2406.22277227723</v>
      </c>
      <c r="Y147" s="67" t="n">
        <f aca="false">IF(Y$5="A",Inputs_Actuals!Y217,Y145*Assumptions!$C$38)</f>
        <v>2406.22277227723</v>
      </c>
      <c r="Z147" s="67" t="n">
        <f aca="false">IF(Z$5="A",Inputs_Actuals!Z217,Z145*Assumptions!$C$38)</f>
        <v>2406.22277227723</v>
      </c>
      <c r="AA147" s="67" t="n">
        <f aca="false">IF(AA$5="A",Inputs_Actuals!AA217,AA145*Assumptions!$C$38)</f>
        <v>4812.44556776794</v>
      </c>
      <c r="AB147" s="67" t="n">
        <f aca="false">IF(AB$5="A",Inputs_Actuals!AB217,AB145*Assumptions!$C$38)</f>
        <v>2406.22277227723</v>
      </c>
    </row>
    <row r="148" customFormat="false" ht="15" hidden="false" customHeight="false" outlineLevel="0" collapsed="false">
      <c r="A148" s="27" t="s">
        <v>1235</v>
      </c>
      <c r="B148" s="63" t="s">
        <v>1176</v>
      </c>
      <c r="C148" s="66" t="n">
        <f aca="false">SUM(E148:P148)</f>
        <v>60762.9492953273</v>
      </c>
      <c r="D148" s="66" t="n">
        <f aca="false">SUM(Q148:AB148)</f>
        <v>63279.4876955815</v>
      </c>
      <c r="E148" s="67" t="n">
        <f aca="false">IF(E$5="A",Inputs_Actuals!E218,IF((E63+E64+E65+E66+E67)=0,0,(E80*E63+E81*E64+E82*E65+E83*E66+E84*E67)/(E63+E64+E65+E66+E67))*(E139+E143+E144))</f>
        <v>4351.93</v>
      </c>
      <c r="F148" s="67" t="n">
        <f aca="false">IF(F$5="A",Inputs_Actuals!F218,IF((F63+F64+F65+F66+F67)=0,0,(F80*F63+F81*F64+F82*F65+F83*F66+F84*F67)/(F63+F64+F65+F66+F67))*(F139+F143+F144))</f>
        <v>4351.93</v>
      </c>
      <c r="G148" s="67" t="n">
        <f aca="false">IF(G$5="A",Inputs_Actuals!G218,IF((G63+G64+G65+G66+G67)=0,0,(G80*G63+G81*G64+G82*G65+G83*G66+G84*G67)/(G63+G64+G65+G66+G67))*(G139+G143+G144))</f>
        <v>4351.93</v>
      </c>
      <c r="H148" s="67" t="n">
        <f aca="false">IF(H$5="A",Inputs_Actuals!H218,IF((H63+H64+H65+H66+H67)=0,0,(H80*H63+H81*H64+H82*H65+H83*H66+H84*H67)/(H63+H64+H65+H66+H67))*(H139+H143+H144))</f>
        <v>4351.93</v>
      </c>
      <c r="I148" s="67" t="n">
        <f aca="false">IF(I$5="A",Inputs_Actuals!I218,IF((I63+I64+I65+I66+I67)=0,0,(I80*I63+I81*I64+I82*I65+I83*I66+I84*I67)/(I63+I64+I65+I66+I67))*(I139+I143+I144))</f>
        <v>4351.93</v>
      </c>
      <c r="J148" s="67" t="n">
        <f aca="false">IF(J$5="A",Inputs_Actuals!J218,IF((J63+J64+J65+J66+J67)=0,0,(J80*J63+J81*J64+J82*J65+J83*J66+J84*J67)/(J63+J64+J65+J66+J67))*(J139+J143+J144))</f>
        <v>8703.86</v>
      </c>
      <c r="K148" s="67" t="n">
        <f aca="false">IF(K$5="A",Inputs_Actuals!K218,IF((K63+K64+K65+K66+K67)=0,0,(K80*K63+K81*K64+K82*K65+K83*K66+K84*K67)/(K63+K64+K65+K66+K67))*(K139+K143+K144))</f>
        <v>4351.93</v>
      </c>
      <c r="L148" s="67" t="n">
        <f aca="false">IF(L$5="A",Inputs_Actuals!L218,IF((L63+L64+L65+L66+L67)=0,0,(L80*L63+L81*L64+L82*L65+L83*L66+L84*L67)/(L63+L64+L65+L66+L67))*(L139+L143+L144))</f>
        <v>4351.93</v>
      </c>
      <c r="M148" s="67" t="n">
        <f aca="false">IF(M$5="A",Inputs_Actuals!M218,IF((M63+M64+M65+M66+M67)=0,0,(M80*M63+M81*M64+M82*M65+M83*M66+M84*M67)/(M63+M64+M65+M66+M67))*(M139+M143+M144))</f>
        <v>4330.17035</v>
      </c>
      <c r="N148" s="67" t="n">
        <f aca="false">IF(N$5="A",Inputs_Actuals!N218,IF((N63+N64+N65+N66+N67)=0,0,(N80*N63+N81*N64+N82*N65+N83*N66+N84*N67)/(N63+N64+N65+N66+N67))*(N139+N143+N144))</f>
        <v>4308.51949825</v>
      </c>
      <c r="O148" s="67" t="n">
        <f aca="false">IF(O$5="A",Inputs_Actuals!O218,IF((O63+O64+O65+O66+O67)=0,0,(O80*O63+O81*O64+O82*O65+O83*O66+O84*O67)/(O63+O64+O65+O66+O67))*(O139+O143+O144))</f>
        <v>8648.03679657271</v>
      </c>
      <c r="P148" s="67" t="n">
        <f aca="false">IF(P$5="A",Inputs_Actuals!P218,IF((P63+P64+P65+P66+P67)=0,0,(P80*P63+P81*P64+P82*P65+P83*P66+P84*P67)/(P63+P64+P65+P66+P67))*(P139+P143+P144))</f>
        <v>4308.85265050464</v>
      </c>
      <c r="Q148" s="67" t="n">
        <f aca="false">IF(Q$5="A",Inputs_Actuals!Q218,IF((Q63+Q64+Q65+Q66+Q67)=0,0,(Q80*Q63+Q81*Q64+Q82*Q65+Q83*Q66+Q84*Q67)/(Q63+Q64+Q65+Q66+Q67))*(Q139+Q143+Q144))</f>
        <v>4519.96390603424</v>
      </c>
      <c r="R148" s="67" t="n">
        <f aca="false">IF(R$5="A",Inputs_Actuals!R218,IF((R63+R64+R65+R66+R67)=0,0,(R80*R63+R81*R64+R82*R65+R83*R66+R84*R67)/(R63+R64+R65+R66+R67))*(R139+R143+R144))</f>
        <v>4519.96335243697</v>
      </c>
      <c r="S148" s="67" t="n">
        <f aca="false">IF(S$5="A",Inputs_Actuals!S218,IF((S63+S64+S65+S66+S67)=0,0,(S80*S63+S81*S64+S82*S65+S83*S66+S84*S67)/(S63+S64+S65+S66+S67))*(S139+S143+S144))</f>
        <v>4519.96336370764</v>
      </c>
      <c r="T148" s="67" t="n">
        <f aca="false">IF(T$5="A",Inputs_Actuals!T218,IF((T63+T64+T65+T66+T67)=0,0,(T80*T63+T81*T64+T82*T65+T83*T66+T84*T67)/(T63+T64+T65+T66+T67))*(T139+T143+T144))</f>
        <v>4519.96336641928</v>
      </c>
      <c r="U148" s="67" t="n">
        <f aca="false">IF(U$5="A",Inputs_Actuals!U218,IF((U63+U64+U65+U66+U67)=0,0,(U80*U63+U81*U64+U82*U65+U83*U66+U84*U67)/(U63+U64+U65+U66+U67))*(U139+U143+U144))</f>
        <v>4519.96336634936</v>
      </c>
      <c r="V148" s="67" t="n">
        <f aca="false">IF(V$5="A",Inputs_Actuals!V218,IF((V63+V64+V65+V66+V67)=0,0,(V80*V63+V81*V64+V82*V65+V83*V66+V84*V67)/(V63+V64+V65+V66+V67))*(V139+V143+V144))</f>
        <v>9039.92673267232</v>
      </c>
      <c r="W148" s="67" t="n">
        <f aca="false">IF(W$5="A",Inputs_Actuals!W218,IF((W63+W64+W65+W66+W67)=0,0,(W80*W63+W81*W64+W82*W65+W83*W66+W84*W67)/(W63+W64+W65+W66+W67))*(W139+W143+W144))</f>
        <v>4519.96336633657</v>
      </c>
      <c r="X148" s="67" t="n">
        <f aca="false">IF(X$5="A",Inputs_Actuals!X218,IF((X63+X64+X65+X66+X67)=0,0,(X80*X63+X81*X64+X82*X65+X83*X66+X84*X67)/(X63+X64+X65+X66+X67))*(X139+X143+X144))</f>
        <v>4519.96336633664</v>
      </c>
      <c r="Y148" s="67" t="n">
        <f aca="false">IF(Y$5="A",Inputs_Actuals!Y218,IF((Y63+Y64+Y65+Y66+Y67)=0,0,(Y80*Y63+Y81*Y64+Y82*Y65+Y83*Y66+Y84*Y67)/(Y63+Y64+Y65+Y66+Y67))*(Y139+Y143+Y144))</f>
        <v>4519.96336633663</v>
      </c>
      <c r="Z148" s="67" t="n">
        <f aca="false">IF(Z$5="A",Inputs_Actuals!Z218,IF((Z63+Z64+Z65+Z66+Z67)=0,0,(Z80*Z63+Z81*Z64+Z82*Z65+Z83*Z66+Z84*Z67)/(Z63+Z64+Z65+Z66+Z67))*(Z139+Z143+Z144))</f>
        <v>4519.96336633663</v>
      </c>
      <c r="AA148" s="67" t="n">
        <f aca="false">IF(AA$5="A",Inputs_Actuals!AA218,IF((AA63+AA64+AA65+AA66+AA67)=0,0,(AA80*AA63+AA81*AA64+AA82*AA65+AA83*AA66+AA84*AA67)/(AA63+AA64+AA65+AA66+AA67))*(AA139+AA143+AA144))</f>
        <v>9039.92677627858</v>
      </c>
      <c r="AB148" s="67" t="n">
        <f aca="false">IF(AB$5="A",Inputs_Actuals!AB218,IF((AB63+AB64+AB65+AB66+AB67)=0,0,(AB80*AB63+AB81*AB64+AB82*AB65+AB83*AB66+AB84*AB67)/(AB63+AB64+AB65+AB66+AB67))*(AB139+AB143+AB144))</f>
        <v>4519.96336633663</v>
      </c>
    </row>
    <row r="149" customFormat="false" ht="15" hidden="false" customHeight="false" outlineLevel="0" collapsed="false">
      <c r="A149" s="27" t="s">
        <v>1236</v>
      </c>
      <c r="B149" s="63" t="s">
        <v>1178</v>
      </c>
      <c r="C149" s="66" t="n">
        <f aca="false">SUM(E149:P149)</f>
        <v>20638.5566838199</v>
      </c>
      <c r="D149" s="66" t="n">
        <f aca="false">SUM(Q149:AB149)</f>
        <v>20495.0497125761</v>
      </c>
      <c r="E149" s="67" t="n">
        <f aca="false">IF(E$5="A",Inputs_Actuals!E219,E138*Assumptions!$C$41*(Assumptions!$C$42-Assumptions!$C$43*Assumptions!E$214))</f>
        <v>1810.8</v>
      </c>
      <c r="F149" s="67" t="n">
        <f aca="false">IF(F$5="A",Inputs_Actuals!F219,F138*Assumptions!$C$41*(Assumptions!$C$42-Assumptions!$C$43*Assumptions!F$214))</f>
        <v>1791</v>
      </c>
      <c r="G149" s="67" t="n">
        <f aca="false">IF(G$5="A",Inputs_Actuals!G219,G138*Assumptions!$C$41*(Assumptions!$C$42-Assumptions!$C$43*Assumptions!G$214))</f>
        <v>1791</v>
      </c>
      <c r="H149" s="67" t="n">
        <f aca="false">IF(H$5="A",Inputs_Actuals!H219,H138*Assumptions!$C$41*(Assumptions!$C$42-Assumptions!$C$43*Assumptions!H$214))</f>
        <v>1711.8</v>
      </c>
      <c r="I149" s="67" t="n">
        <f aca="false">IF(I$5="A",Inputs_Actuals!I219,I138*Assumptions!$C$41*(Assumptions!$C$42-Assumptions!$C$43*Assumptions!I$214))</f>
        <v>1771.2</v>
      </c>
      <c r="J149" s="67" t="n">
        <f aca="false">IF(J$5="A",Inputs_Actuals!J219,J138*Assumptions!$C$41*(Assumptions!$C$42-Assumptions!$C$43*Assumptions!J$214))</f>
        <v>1711.8</v>
      </c>
      <c r="K149" s="67" t="n">
        <f aca="false">IF(K$5="A",Inputs_Actuals!K219,K138*Assumptions!$C$41*(Assumptions!$C$42-Assumptions!$C$43*Assumptions!K$214))</f>
        <v>1612.8</v>
      </c>
      <c r="L149" s="67" t="n">
        <f aca="false">IF(L$5="A",Inputs_Actuals!L219,L138*Assumptions!$C$41*(Assumptions!$C$42-Assumptions!$C$43*Assumptions!L$214))</f>
        <v>1454.4</v>
      </c>
      <c r="M149" s="67" t="n">
        <f aca="false">IF(M$5="A",Inputs_Actuals!M219,M138*Assumptions!$C$41*(Assumptions!$C$42-Assumptions!$C$43*Assumptions!M$214))</f>
        <v>1722.942</v>
      </c>
      <c r="N149" s="67" t="n">
        <f aca="false">IF(N$5="A",Inputs_Actuals!N219,N138*Assumptions!$C$41*(Assumptions!$C$42-Assumptions!$C$43*Assumptions!N$214))</f>
        <v>1773.134775</v>
      </c>
      <c r="O149" s="67" t="n">
        <f aca="false">IF(O$5="A",Inputs_Actuals!O219,O138*Assumptions!$C$41*(Assumptions!$C$42-Assumptions!$C$43*Assumptions!O$214))</f>
        <v>1792.82758365</v>
      </c>
      <c r="P149" s="67" t="n">
        <f aca="false">IF(P$5="A",Inputs_Actuals!P219,P138*Assumptions!$C$41*(Assumptions!$C$42-Assumptions!$C$43*Assumptions!P$214))</f>
        <v>1694.85232516987</v>
      </c>
      <c r="Q149" s="67" t="n">
        <f aca="false">IF(Q$5="A",Inputs_Actuals!Q219,Q138*Assumptions!$C$41*(Assumptions!$C$42-Assumptions!$C$43*Assumptions!Q$214))</f>
        <v>1792.87150120309</v>
      </c>
      <c r="R149" s="67" t="n">
        <f aca="false">IF(R$5="A",Inputs_Actuals!R219,R138*Assumptions!$C$41*(Assumptions!$C$42-Assumptions!$C$43*Assumptions!R$214))</f>
        <v>1773.26732127957</v>
      </c>
      <c r="S149" s="67" t="n">
        <f aca="false">IF(S$5="A",Inputs_Actuals!S219,S138*Assumptions!$C$41*(Assumptions!$C$42-Assumptions!$C$43*Assumptions!S$214))</f>
        <v>1773.26732570127</v>
      </c>
      <c r="T149" s="67" t="n">
        <f aca="false">IF(T$5="A",Inputs_Actuals!T219,T138*Assumptions!$C$41*(Assumptions!$C$42-Assumptions!$C$43*Assumptions!T$214))</f>
        <v>1694.8514851795</v>
      </c>
      <c r="U149" s="67" t="n">
        <f aca="false">IF(U$5="A",Inputs_Actuals!U219,U138*Assumptions!$C$41*(Assumptions!$C$42-Assumptions!$C$43*Assumptions!U$214))</f>
        <v>1753.66336634157</v>
      </c>
      <c r="V149" s="67" t="n">
        <f aca="false">IF(V$5="A",Inputs_Actuals!V219,V138*Assumptions!$C$41*(Assumptions!$C$42-Assumptions!$C$43*Assumptions!V$214))</f>
        <v>1694.85148514834</v>
      </c>
      <c r="W149" s="67" t="n">
        <f aca="false">IF(W$5="A",Inputs_Actuals!W219,W138*Assumptions!$C$41*(Assumptions!$C$42-Assumptions!$C$43*Assumptions!W$214))</f>
        <v>1596.8316831683</v>
      </c>
      <c r="X149" s="67" t="n">
        <f aca="false">IF(X$5="A",Inputs_Actuals!X219,X138*Assumptions!$C$41*(Assumptions!$C$42-Assumptions!$C$43*Assumptions!X$214))</f>
        <v>1440</v>
      </c>
      <c r="Y149" s="67" t="n">
        <f aca="false">IF(Y$5="A",Inputs_Actuals!Y219,Y138*Assumptions!$C$41*(Assumptions!$C$42-Assumptions!$C$43*Assumptions!Y$214))</f>
        <v>1714.45544554455</v>
      </c>
      <c r="Z149" s="67" t="n">
        <f aca="false">IF(Z$5="A",Inputs_Actuals!Z219,Z138*Assumptions!$C$41*(Assumptions!$C$42-Assumptions!$C$43*Assumptions!Z$214))</f>
        <v>1773.26732673267</v>
      </c>
      <c r="AA149" s="67" t="n">
        <f aca="false">IF(AA$5="A",Inputs_Actuals!AA219,AA138*Assumptions!$C$41*(Assumptions!$C$42-Assumptions!$C$43*Assumptions!AA$214))</f>
        <v>1792.87128712871</v>
      </c>
      <c r="AB149" s="67" t="n">
        <f aca="false">IF(AB$5="A",Inputs_Actuals!AB219,AB138*Assumptions!$C$41*(Assumptions!$C$42-Assumptions!$C$43*Assumptions!AB$214))</f>
        <v>1694.85148514852</v>
      </c>
    </row>
    <row r="150" customFormat="false" ht="15" hidden="false" customHeight="false" outlineLevel="0" collapsed="false">
      <c r="A150" s="27" t="s">
        <v>1237</v>
      </c>
      <c r="B150" s="63" t="s">
        <v>1180</v>
      </c>
      <c r="C150" s="66" t="n">
        <f aca="false">SUM(E150:P150)</f>
        <v>6140.87944955514</v>
      </c>
      <c r="D150" s="66" t="n">
        <f aca="false">SUM(Q150:AB150)</f>
        <v>6263.54560498058</v>
      </c>
      <c r="E150" s="67" t="n">
        <f aca="false">IF(E$5="A",Inputs_Actuals!E220,E138*Assumptions!$C$45*Assumptions!E$208+Assumptions!$C$44*E139*14/12)</f>
        <v>513.23</v>
      </c>
      <c r="F150" s="67" t="n">
        <f aca="false">IF(F$5="A",Inputs_Actuals!F220,F138*Assumptions!$C$45*Assumptions!F$208+Assumptions!$C$44*F139*14/12)</f>
        <v>513.23</v>
      </c>
      <c r="G150" s="67" t="n">
        <f aca="false">IF(G$5="A",Inputs_Actuals!G220,G138*Assumptions!$C$45*Assumptions!G$208+Assumptions!$C$44*G139*14/12)</f>
        <v>513.23</v>
      </c>
      <c r="H150" s="67" t="n">
        <f aca="false">IF(H$5="A",Inputs_Actuals!H220,H138*Assumptions!$C$45*Assumptions!H$208+Assumptions!$C$44*H139*14/12)</f>
        <v>513.23</v>
      </c>
      <c r="I150" s="67" t="n">
        <f aca="false">IF(I$5="A",Inputs_Actuals!I220,I138*Assumptions!$C$45*Assumptions!I$208+Assumptions!$C$44*I139*14/12)</f>
        <v>513.23</v>
      </c>
      <c r="J150" s="67" t="n">
        <f aca="false">IF(J$5="A",Inputs_Actuals!J220,J138*Assumptions!$C$45*Assumptions!J$208+Assumptions!$C$44*J139*14/12)</f>
        <v>513.23</v>
      </c>
      <c r="K150" s="67" t="n">
        <f aca="false">IF(K$5="A",Inputs_Actuals!K220,K138*Assumptions!$C$45*Assumptions!K$208+Assumptions!$C$44*K139*14/12)</f>
        <v>513.23</v>
      </c>
      <c r="L150" s="67" t="n">
        <f aca="false">IF(L$5="A",Inputs_Actuals!L220,L138*Assumptions!$C$45*Assumptions!L$208+Assumptions!$C$44*L139*14/12)</f>
        <v>513.23</v>
      </c>
      <c r="M150" s="67" t="n">
        <f aca="false">IF(M$5="A",Inputs_Actuals!M220,M138*Assumptions!$C$45*Assumptions!M$208+Assumptions!$C$44*M139*14/12)</f>
        <v>510.658875</v>
      </c>
      <c r="N150" s="67" t="n">
        <f aca="false">IF(N$5="A",Inputs_Actuals!N220,N138*Assumptions!$C$45*Assumptions!N$208+Assumptions!$C$44*N139*14/12)</f>
        <v>508.105580625</v>
      </c>
      <c r="O150" s="67" t="n">
        <f aca="false">IF(O$5="A",Inputs_Actuals!O220,O138*Assumptions!$C$45*Assumptions!O$208+Assumptions!$C$44*O139*14/12)</f>
        <v>508.131177721875</v>
      </c>
      <c r="P150" s="67" t="n">
        <f aca="false">IF(P$5="A",Inputs_Actuals!P220,P138*Assumptions!$C$45*Assumptions!P$208+Assumptions!$C$44*P139*14/12)</f>
        <v>508.143816208266</v>
      </c>
      <c r="Q150" s="67" t="n">
        <f aca="false">IF(Q$5="A",Inputs_Actuals!Q220,Q138*Assumptions!$C$45*Assumptions!Q$208+Assumptions!$C$44*Q139*14/12)</f>
        <v>521.962191036764</v>
      </c>
      <c r="R150" s="67" t="n">
        <f aca="false">IF(R$5="A",Inputs_Actuals!R220,R138*Assumptions!$C$45*Assumptions!R$208+Assumptions!$C$44*R139*14/12)</f>
        <v>521.962127107748</v>
      </c>
      <c r="S150" s="67" t="n">
        <f aca="false">IF(S$5="A",Inputs_Actuals!S220,S138*Assumptions!$C$45*Assumptions!S$208+Assumptions!$C$44*S139*14/12)</f>
        <v>521.962128409277</v>
      </c>
      <c r="T150" s="67" t="n">
        <f aca="false">IF(T$5="A",Inputs_Actuals!T220,T138*Assumptions!$C$45*Assumptions!T$208+Assumptions!$C$44*T139*14/12)</f>
        <v>521.962128722415</v>
      </c>
      <c r="U150" s="67" t="n">
        <f aca="false">IF(U$5="A",Inputs_Actuals!U220,U138*Assumptions!$C$45*Assumptions!U$208+Assumptions!$C$44*U139*14/12)</f>
        <v>521.962128714342</v>
      </c>
      <c r="V150" s="67" t="n">
        <f aca="false">IF(V$5="A",Inputs_Actuals!V220,V138*Assumptions!$C$45*Assumptions!V$208+Assumptions!$C$44*V139*14/12)</f>
        <v>521.962128712816</v>
      </c>
      <c r="W150" s="67" t="n">
        <f aca="false">IF(W$5="A",Inputs_Actuals!W220,W138*Assumptions!$C$45*Assumptions!W$208+Assumptions!$C$44*W139*14/12)</f>
        <v>521.962128712864</v>
      </c>
      <c r="X150" s="67" t="n">
        <f aca="false">IF(X$5="A",Inputs_Actuals!X220,X138*Assumptions!$C$45*Assumptions!X$208+Assumptions!$C$44*X139*14/12)</f>
        <v>521.962128712872</v>
      </c>
      <c r="Y150" s="67" t="n">
        <f aca="false">IF(Y$5="A",Inputs_Actuals!Y220,Y138*Assumptions!$C$45*Assumptions!Y$208+Assumptions!$C$44*Y139*14/12)</f>
        <v>521.962128712871</v>
      </c>
      <c r="Z150" s="67" t="n">
        <f aca="false">IF(Z$5="A",Inputs_Actuals!Z220,Z138*Assumptions!$C$45*Assumptions!Z$208+Assumptions!$C$44*Z139*14/12)</f>
        <v>521.962128712871</v>
      </c>
      <c r="AA150" s="67" t="n">
        <f aca="false">IF(AA$5="A",Inputs_Actuals!AA220,AA138*Assumptions!$C$45*Assumptions!AA$208+Assumptions!$C$44*AA139*14/12)</f>
        <v>521.962128712871</v>
      </c>
      <c r="AB150" s="67" t="n">
        <f aca="false">IF(AB$5="A",Inputs_Actuals!AB220,AB138*Assumptions!$C$45*Assumptions!AB$208+Assumptions!$C$44*AB139*14/12)</f>
        <v>521.962128712871</v>
      </c>
    </row>
    <row r="151" customFormat="false" ht="15" hidden="false" customHeight="false" outlineLevel="0" collapsed="false">
      <c r="A151" s="27" t="s">
        <v>1238</v>
      </c>
      <c r="B151" s="63" t="s">
        <v>1182</v>
      </c>
      <c r="C151" s="66" t="n">
        <f aca="false">SUM(E151:P151)</f>
        <v>205784.325941739</v>
      </c>
      <c r="D151" s="66" t="n">
        <f aca="false">SUM(Q151:AB151)</f>
        <v>209279.930587637</v>
      </c>
      <c r="E151" s="67" t="n">
        <f aca="false">IF(E$5="A",Inputs_Actuals!E221,E145-E147-E148)</f>
        <v>14738.57</v>
      </c>
      <c r="F151" s="67" t="n">
        <f aca="false">IF(F$5="A",Inputs_Actuals!F221,F145-F147-F148)</f>
        <v>14738.57</v>
      </c>
      <c r="G151" s="67" t="n">
        <f aca="false">IF(G$5="A",Inputs_Actuals!G221,G145-G147-G148)</f>
        <v>14738.57</v>
      </c>
      <c r="H151" s="67" t="n">
        <f aca="false">IF(H$5="A",Inputs_Actuals!H221,H145-H147-H148)</f>
        <v>14738.57</v>
      </c>
      <c r="I151" s="67" t="n">
        <f aca="false">IF(I$5="A",Inputs_Actuals!I221,I145-I147-I148)</f>
        <v>14738.57</v>
      </c>
      <c r="J151" s="67" t="n">
        <f aca="false">IF(J$5="A",Inputs_Actuals!J221,J145-J147-J148)</f>
        <v>29477.14</v>
      </c>
      <c r="K151" s="67" t="n">
        <f aca="false">IF(K$5="A",Inputs_Actuals!K221,K145-K147-K148)</f>
        <v>14738.57</v>
      </c>
      <c r="L151" s="67" t="n">
        <f aca="false">IF(L$5="A",Inputs_Actuals!L221,L145-L147-L148)</f>
        <v>14738.57</v>
      </c>
      <c r="M151" s="67" t="n">
        <f aca="false">IF(M$5="A",Inputs_Actuals!M221,M145-M147-M148)</f>
        <v>14664.87715</v>
      </c>
      <c r="N151" s="67" t="n">
        <f aca="false">IF(N$5="A",Inputs_Actuals!N221,N145-N147-N148)</f>
        <v>14591.55276425</v>
      </c>
      <c r="O151" s="67" t="n">
        <f aca="false">IF(O$5="A",Inputs_Actuals!O221,O145-O147-O148)</f>
        <v>29288.084985021</v>
      </c>
      <c r="P151" s="67" t="n">
        <f aca="false">IF(P$5="A",Inputs_Actuals!P221,P145-P147-P148)</f>
        <v>14592.6810424681</v>
      </c>
      <c r="Q151" s="67" t="n">
        <f aca="false">IF(Q$5="A",Inputs_Actuals!Q221,Q145-Q147-Q148)</f>
        <v>14948.5681215387</v>
      </c>
      <c r="R151" s="67" t="n">
        <f aca="false">IF(R$5="A",Inputs_Actuals!R221,R145-R147-R148)</f>
        <v>14948.5662906643</v>
      </c>
      <c r="S151" s="67" t="n">
        <f aca="false">IF(S$5="A",Inputs_Actuals!S221,S145-S147-S148)</f>
        <v>14948.566327939</v>
      </c>
      <c r="T151" s="67" t="n">
        <f aca="false">IF(T$5="A",Inputs_Actuals!T221,T145-T147-T148)</f>
        <v>14948.566336907</v>
      </c>
      <c r="U151" s="67" t="n">
        <f aca="false">IF(U$5="A",Inputs_Actuals!U221,U145-U147-U148)</f>
        <v>14948.5663366758</v>
      </c>
      <c r="V151" s="67" t="n">
        <f aca="false">IF(V$5="A",Inputs_Actuals!V221,V145-V147-V148)</f>
        <v>29897.1326732642</v>
      </c>
      <c r="W151" s="67" t="n">
        <f aca="false">IF(W$5="A",Inputs_Actuals!W221,W145-W147-W148)</f>
        <v>14948.5663366335</v>
      </c>
      <c r="X151" s="67" t="n">
        <f aca="false">IF(X$5="A",Inputs_Actuals!X221,X145-X147-X148)</f>
        <v>14948.5663366337</v>
      </c>
      <c r="Y151" s="67" t="n">
        <f aca="false">IF(Y$5="A",Inputs_Actuals!Y221,Y145-Y147-Y148)</f>
        <v>14948.5663366337</v>
      </c>
      <c r="Z151" s="67" t="n">
        <f aca="false">IF(Z$5="A",Inputs_Actuals!Z221,Z145-Z147-Z148)</f>
        <v>14948.5663366337</v>
      </c>
      <c r="AA151" s="67" t="n">
        <f aca="false">IF(AA$5="A",Inputs_Actuals!AA221,AA145-AA147-AA148)</f>
        <v>29897.1328174802</v>
      </c>
      <c r="AB151" s="67" t="n">
        <f aca="false">IF(AB$5="A",Inputs_Actuals!AB221,AB145-AB147-AB148)</f>
        <v>14948.5663366337</v>
      </c>
    </row>
    <row r="152" customFormat="false" ht="15" hidden="false" customHeight="false" outlineLevel="0" collapsed="false">
      <c r="A152" s="27" t="s">
        <v>1239</v>
      </c>
      <c r="B152" s="63" t="s">
        <v>1184</v>
      </c>
      <c r="C152" s="66" t="n">
        <f aca="false">P152</f>
        <v>0</v>
      </c>
      <c r="D152" s="66" t="n">
        <f aca="false">AB152</f>
        <v>0</v>
      </c>
      <c r="E152" s="67" t="n">
        <f aca="false">0+(E141-E144)*(1+Assumptions!$C$37)</f>
        <v>2212.03125</v>
      </c>
      <c r="F152" s="67" t="n">
        <f aca="false">E152+(F141-F144)*(1+Assumptions!$C$37)</f>
        <v>4424.0625</v>
      </c>
      <c r="G152" s="67" t="n">
        <f aca="false">F152+(G141-G144)*(1+Assumptions!$C$37)</f>
        <v>6636.09375</v>
      </c>
      <c r="H152" s="67" t="n">
        <f aca="false">G152+(H141-H144)*(1+Assumptions!$C$37)</f>
        <v>8848.125</v>
      </c>
      <c r="I152" s="67" t="n">
        <f aca="false">H152+(I141-I144)*(1+Assumptions!$C$37)</f>
        <v>11060.15625</v>
      </c>
      <c r="J152" s="67" t="n">
        <f aca="false">I152+(J141-J144)*(1+Assumptions!$C$37)</f>
        <v>13272.1875</v>
      </c>
      <c r="K152" s="67" t="n">
        <f aca="false">J152+(K141-K144)*(1+Assumptions!$C$37)</f>
        <v>15484.21875</v>
      </c>
      <c r="L152" s="67" t="n">
        <f aca="false">K152+(L141-L144)*(1+Assumptions!$C$37)</f>
        <v>17696.25</v>
      </c>
      <c r="M152" s="67" t="n">
        <f aca="false">L152+(M141-M144)*(1+Assumptions!$C$37)</f>
        <v>19897.22109375</v>
      </c>
      <c r="N152" s="67" t="n">
        <f aca="false">M152+(N141-N144)*(1+Assumptions!$C$37)</f>
        <v>22087.1873320312</v>
      </c>
      <c r="O152" s="67" t="n">
        <f aca="false">N152+(O141-O144)*(1+Assumptions!$C$37)</f>
        <v>-2190.07656333985</v>
      </c>
      <c r="P152" s="67" t="n">
        <f aca="false">O152+(P141-P144)*(1+Assumptions!$C$37)</f>
        <v>0</v>
      </c>
      <c r="Q152" s="67" t="n">
        <f aca="false">P152+(Q141-Q144)*(1+Assumptions!$C$37)</f>
        <v>2255.83411836344</v>
      </c>
      <c r="R152" s="67" t="n">
        <f aca="false">Q152+(R141-R144)*(1+Assumptions!$C$37)</f>
        <v>4511.66796043627</v>
      </c>
      <c r="S152" s="67" t="n">
        <f aca="false">R152+(S141-S144)*(1+Assumptions!$C$37)</f>
        <v>6767.50180813409</v>
      </c>
      <c r="T152" s="67" t="n">
        <f aca="false">S152+(T141-T144)*(1+Assumptions!$C$37)</f>
        <v>9023.33565718523</v>
      </c>
      <c r="U152" s="67" t="n">
        <f aca="false">T152+(U141-U144)*(1+Assumptions!$C$37)</f>
        <v>11279.1695062015</v>
      </c>
      <c r="V152" s="67" t="n">
        <f aca="false">U152+(V141-V144)*(1+Assumptions!$C$37)</f>
        <v>13535.0033552112</v>
      </c>
      <c r="W152" s="67" t="n">
        <f aca="false">V152+(W141-W144)*(1+Assumptions!$C$37)</f>
        <v>15790.837204221</v>
      </c>
      <c r="X152" s="67" t="n">
        <f aca="false">W152+(X141-X144)*(1+Assumptions!$C$37)</f>
        <v>18046.6710532309</v>
      </c>
      <c r="Y152" s="67" t="n">
        <f aca="false">X152+(Y141-Y144)*(1+Assumptions!$C$37)</f>
        <v>20302.5049022408</v>
      </c>
      <c r="Z152" s="67" t="n">
        <f aca="false">Y152+(Z141-Z144)*(1+Assumptions!$C$37)</f>
        <v>22558.3387512507</v>
      </c>
      <c r="AA152" s="67" t="n">
        <f aca="false">Z152+(AA141-AA144)*(1+Assumptions!$C$37)</f>
        <v>-2255.8338490099</v>
      </c>
      <c r="AB152" s="67" t="n">
        <f aca="false">AA152+(AB141-AB144)*(1+Assumptions!$C$37)</f>
        <v>0</v>
      </c>
    </row>
    <row r="153" customFormat="false" ht="15" hidden="false" customHeight="false" outlineLevel="0" collapsed="false">
      <c r="A153" s="27" t="s">
        <v>1240</v>
      </c>
      <c r="B153" s="63" t="s">
        <v>1186</v>
      </c>
      <c r="C153" s="66" t="n">
        <f aca="false">SUM(E153:P153)</f>
        <v>1535.35689545243</v>
      </c>
      <c r="D153" s="66" t="n">
        <f aca="false">SUM(Q153:AB153)</f>
        <v>0</v>
      </c>
      <c r="E153" s="76" t="n">
        <f aca="false">IF(E156=0,0,E159*E139/E156)</f>
        <v>0</v>
      </c>
      <c r="F153" s="76" t="n">
        <f aca="false">IF(F156=0,0,F159*F139/F156)</f>
        <v>0</v>
      </c>
      <c r="G153" s="76" t="n">
        <f aca="false">IF(G156=0,0,G159*G139/G156)</f>
        <v>0</v>
      </c>
      <c r="H153" s="76" t="n">
        <f aca="false">IF(H156=0,0,H159*H139/H156)</f>
        <v>0</v>
      </c>
      <c r="I153" s="76" t="n">
        <f aca="false">IF(I156=0,0,I159*I139/I156)</f>
        <v>0</v>
      </c>
      <c r="J153" s="76" t="n">
        <f aca="false">IF(J156=0,0,J159*J139/J156)</f>
        <v>0</v>
      </c>
      <c r="K153" s="76" t="n">
        <f aca="false">IF(K156=0,0,K159*K139/K156)</f>
        <v>0</v>
      </c>
      <c r="L153" s="76" t="n">
        <f aca="false">IF(L156=0,0,L159*L139/L156)</f>
        <v>0</v>
      </c>
      <c r="M153" s="76" t="n">
        <f aca="false">IF(M156=0,0,M159*M139/M156)</f>
        <v>0</v>
      </c>
      <c r="N153" s="76" t="n">
        <f aca="false">IF(N156=0,0,N159*N139/N156)</f>
        <v>0</v>
      </c>
      <c r="O153" s="76" t="n">
        <f aca="false">IF(O156=0,0,O159*O139/O156)</f>
        <v>0</v>
      </c>
      <c r="P153" s="76" t="n">
        <f aca="false">IF(P156=0,0,P159*P139/P156)</f>
        <v>1535.35689545243</v>
      </c>
      <c r="Q153" s="76" t="n">
        <f aca="false">IF(Q156=0,0,Q159*Q139/Q156)</f>
        <v>0</v>
      </c>
      <c r="R153" s="76" t="n">
        <f aca="false">IF(R156=0,0,R159*R139/R156)</f>
        <v>0</v>
      </c>
      <c r="S153" s="76" t="n">
        <f aca="false">IF(S156=0,0,S159*S139/S156)</f>
        <v>0</v>
      </c>
      <c r="T153" s="76" t="n">
        <f aca="false">IF(T156=0,0,T159*T139/T156)</f>
        <v>0</v>
      </c>
      <c r="U153" s="76" t="n">
        <f aca="false">IF(U156=0,0,U159*U139/U156)</f>
        <v>0</v>
      </c>
      <c r="V153" s="76" t="n">
        <f aca="false">IF(V156=0,0,V159*V139/V156)</f>
        <v>0</v>
      </c>
      <c r="W153" s="76" t="n">
        <f aca="false">IF(W156=0,0,W159*W139/W156)</f>
        <v>0</v>
      </c>
      <c r="X153" s="76" t="n">
        <f aca="false">IF(X156=0,0,X159*X139/X156)</f>
        <v>0</v>
      </c>
      <c r="Y153" s="76" t="n">
        <f aca="false">IF(Y156=0,0,Y159*Y139/Y156)</f>
        <v>0</v>
      </c>
      <c r="Z153" s="76" t="n">
        <f aca="false">IF(Z156=0,0,Z159*Z139/Z156)</f>
        <v>0</v>
      </c>
      <c r="AA153" s="76" t="n">
        <f aca="false">IF(AA156=0,0,AA159*AA139/AA156)</f>
        <v>0</v>
      </c>
      <c r="AB153" s="76" t="n">
        <f aca="false">IF(AB156=0,0,AB159*AB139/AB156)</f>
        <v>0</v>
      </c>
    </row>
    <row r="154" customFormat="false" ht="15" hidden="false" customHeight="false" outlineLevel="0" collapsed="false">
      <c r="A154" s="59" t="s">
        <v>1241</v>
      </c>
      <c r="B154" s="60" t="s">
        <v>1188</v>
      </c>
      <c r="C154" s="61" t="n">
        <f aca="false">SUM(E154:P154)</f>
        <v>398839.389237029</v>
      </c>
      <c r="D154" s="61" t="n">
        <f aca="false">SUM(Q154:AB154)</f>
        <v>405738.685744107</v>
      </c>
      <c r="E154" s="62" t="n">
        <f aca="false">(E139-E140+E141+E142)*(1+Assumptions!$C$37)+E149+E150+E153</f>
        <v>34442.72375</v>
      </c>
      <c r="F154" s="62" t="n">
        <f aca="false">(F139-F140+F141+F142)*(1+Assumptions!$C$37)+F149+F150+F153</f>
        <v>34157.48</v>
      </c>
      <c r="G154" s="62" t="n">
        <f aca="false">(G139-G140+G141+G142)*(1+Assumptions!$C$37)+G149+G150+G153</f>
        <v>34157.48</v>
      </c>
      <c r="H154" s="62" t="n">
        <f aca="false">(H139-H140+H141+H142)*(1+Assumptions!$C$37)+H149+H150+H153</f>
        <v>33016.505</v>
      </c>
      <c r="I154" s="62" t="n">
        <f aca="false">(I139-I140+I141+I142)*(1+Assumptions!$C$37)+I149+I150+I153</f>
        <v>33872.23625</v>
      </c>
      <c r="J154" s="62" t="n">
        <f aca="false">(J139-J140+J141+J142)*(1+Assumptions!$C$37)+J149+J150+J153</f>
        <v>33016.505</v>
      </c>
      <c r="K154" s="62" t="n">
        <f aca="false">(K139-K140+K141+K142)*(1+Assumptions!$C$37)+K149+K150+K153</f>
        <v>31590.28625</v>
      </c>
      <c r="L154" s="62" t="n">
        <f aca="false">(L139-L140+L141+L142)*(1+Assumptions!$C$37)+L149+L150+L153</f>
        <v>29308.33625</v>
      </c>
      <c r="M154" s="62" t="n">
        <f aca="false">(M139-M140+M141+M142)*(1+Assumptions!$C$37)+M149+M150+M153</f>
        <v>33135.23503125</v>
      </c>
      <c r="N154" s="62" t="n">
        <f aca="false">(N139-N140+N141+N142)*(1+Assumptions!$C$37)+N149+N150+N153</f>
        <v>33816.754186875</v>
      </c>
      <c r="O154" s="62" t="n">
        <f aca="false">(O139-O140+O141+O142)*(1+Assumptions!$C$37)+O149+O150+O153</f>
        <v>34100.8704610664</v>
      </c>
      <c r="P154" s="62" t="n">
        <f aca="false">(P139-P140+P141+P142)*(1+Assumptions!$C$37)+P149+P150+P153</f>
        <v>34224.9770578377</v>
      </c>
      <c r="Q154" s="62" t="n">
        <f aca="false">(Q139-Q140+Q141+Q142)*(1+Assumptions!$C$37)+Q149+Q150+Q153</f>
        <v>35069.545090877</v>
      </c>
      <c r="R154" s="62" t="n">
        <f aca="false">(R139-R140+R141+R142)*(1+Assumptions!$C$37)+R149+R150+R153</f>
        <v>34779.236774236</v>
      </c>
      <c r="S154" s="62" t="n">
        <f aca="false">(S139-S140+S141+S142)*(1+Assumptions!$C$37)+S149+S150+S153</f>
        <v>34779.2368609591</v>
      </c>
      <c r="T154" s="62" t="n">
        <f aca="false">(T139-T140+T141+T142)*(1+Assumptions!$C$37)+T149+T150+T153</f>
        <v>33618.0207926939</v>
      </c>
      <c r="U154" s="62" t="n">
        <f aca="false">(U139-U140+U141+U142)*(1+Assumptions!$C$37)+U149+U150+U153</f>
        <v>34488.932859008</v>
      </c>
      <c r="V154" s="62" t="n">
        <f aca="false">(V139-V140+V141+V142)*(1+Assumptions!$C$37)+V149+V150+V153</f>
        <v>33618.0207920757</v>
      </c>
      <c r="W154" s="62" t="n">
        <f aca="false">(W139-W140+W141+W142)*(1+Assumptions!$C$37)+W149+W150+W153</f>
        <v>32166.5006806926</v>
      </c>
      <c r="X154" s="62" t="n">
        <f aca="false">(X139-X140+X141+X142)*(1+Assumptions!$C$37)+X149+X150+X153</f>
        <v>29844.0685024753</v>
      </c>
      <c r="Y154" s="62" t="n">
        <f aca="false">(Y139-Y140+Y141+Y142)*(1+Assumptions!$C$37)+Y149+Y150+Y153</f>
        <v>33908.3248143564</v>
      </c>
      <c r="Z154" s="62" t="n">
        <f aca="false">(Z139-Z140+Z141+Z142)*(1+Assumptions!$C$37)+Z149+Z150+Z153</f>
        <v>34779.2368811881</v>
      </c>
      <c r="AA154" s="62" t="n">
        <f aca="false">(AA139-AA140+AA141+AA142)*(1+Assumptions!$C$37)+AA149+AA150+AA153</f>
        <v>35069.5409034653</v>
      </c>
      <c r="AB154" s="62" t="n">
        <f aca="false">(AB139-AB140+AB141+AB142)*(1+Assumptions!$C$37)+AB149+AB150+AB153</f>
        <v>33618.0207920792</v>
      </c>
    </row>
    <row r="155" customFormat="false" ht="15" hidden="false" customHeight="false" outlineLevel="0" collapsed="false">
      <c r="A155" s="21" t="s">
        <v>1242</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row>
    <row r="156" customFormat="false" ht="15" hidden="false" customHeight="false" outlineLevel="0" collapsed="false">
      <c r="A156" s="27" t="s">
        <v>1243</v>
      </c>
      <c r="B156" s="63"/>
      <c r="C156" s="66" t="n">
        <f aca="false">SUM(E156:P156)</f>
        <v>1565616.77353818</v>
      </c>
      <c r="D156" s="66" t="n">
        <f aca="false">SUM(Q156:AB156)</f>
        <v>1782479.38894276</v>
      </c>
      <c r="E156" s="76" t="n">
        <f aca="false">E87+E104+E121+E139</f>
        <v>129300</v>
      </c>
      <c r="F156" s="76" t="n">
        <f aca="false">F87+F104+F121+F139</f>
        <v>131450</v>
      </c>
      <c r="G156" s="76" t="n">
        <f aca="false">G87+G104+G121+G139</f>
        <v>132150</v>
      </c>
      <c r="H156" s="76" t="n">
        <f aca="false">H87+H104+H121+H139</f>
        <v>130500</v>
      </c>
      <c r="I156" s="76" t="n">
        <f aca="false">I87+I104+I121+I139</f>
        <v>128850</v>
      </c>
      <c r="J156" s="76" t="n">
        <f aca="false">J87+J104+J121+J139</f>
        <v>127800</v>
      </c>
      <c r="K156" s="76" t="n">
        <f aca="false">K87+K104+K121+K139</f>
        <v>129000</v>
      </c>
      <c r="L156" s="76" t="n">
        <f aca="false">L87+L104+L121+L139</f>
        <v>129000</v>
      </c>
      <c r="M156" s="76" t="n">
        <f aca="false">M87+M104+M121+M139</f>
        <v>127722.5</v>
      </c>
      <c r="N156" s="76" t="n">
        <f aca="false">N87+N104+N121+N139</f>
        <v>130958.540555556</v>
      </c>
      <c r="O156" s="76" t="n">
        <f aca="false">O87+O104+O121+O139</f>
        <v>134482.971979167</v>
      </c>
      <c r="P156" s="76" t="n">
        <f aca="false">P87+P104+P121+P139</f>
        <v>134402.76100346</v>
      </c>
      <c r="Q156" s="76" t="n">
        <f aca="false">Q87+Q104+Q121+Q139</f>
        <v>145706.481187797</v>
      </c>
      <c r="R156" s="76" t="n">
        <f aca="false">R87+R104+R121+R139</f>
        <v>145628.282523233</v>
      </c>
      <c r="S156" s="76" t="n">
        <f aca="false">S87+S104+S121+S139</f>
        <v>146785.98381911</v>
      </c>
      <c r="T156" s="76" t="n">
        <f aca="false">T87+T104+T121+T139</f>
        <v>148112.309707539</v>
      </c>
      <c r="U156" s="76" t="n">
        <f aca="false">U87+U104+U121+U139</f>
        <v>148083.290068281</v>
      </c>
      <c r="V156" s="76" t="n">
        <f aca="false">V87+V104+V121+V139</f>
        <v>149767.655558423</v>
      </c>
      <c r="W156" s="76" t="n">
        <f aca="false">W87+W104+W121+W139</f>
        <v>149748.343429001</v>
      </c>
      <c r="X156" s="76" t="n">
        <f aca="false">X87+X104+X121+X139</f>
        <v>149728.917802722</v>
      </c>
      <c r="Y156" s="76" t="n">
        <f aca="false">Y87+Y104+Y121+Y139</f>
        <v>149729.369742226</v>
      </c>
      <c r="Z156" s="76" t="n">
        <f aca="false">Z87+Z104+Z121+Z139</f>
        <v>149729.591101878</v>
      </c>
      <c r="AA156" s="76" t="n">
        <f aca="false">AA87+AA104+AA121+AA139</f>
        <v>149729.583246718</v>
      </c>
      <c r="AB156" s="76" t="n">
        <f aca="false">AB87+AB104+AB121+AB139</f>
        <v>149729.580755833</v>
      </c>
    </row>
    <row r="157" customFormat="false" ht="15" hidden="false" customHeight="false" outlineLevel="0" collapsed="false">
      <c r="A157" s="27" t="s">
        <v>1244</v>
      </c>
      <c r="B157" s="63" t="s">
        <v>1245</v>
      </c>
      <c r="C157" s="66" t="n">
        <f aca="false">SUM(E157:P157)</f>
        <v>322908.45954225</v>
      </c>
      <c r="D157" s="66" t="n">
        <f aca="false">SUM(Q157:AB157)</f>
        <v>367636.373969444</v>
      </c>
      <c r="E157" s="67" t="n">
        <f aca="false">(E90+E107+E124+E142)*(1+Assumptions!$C$37)</f>
        <v>26668.125</v>
      </c>
      <c r="F157" s="67" t="n">
        <f aca="false">(F90+F107+F124+F142)*(1+Assumptions!$C$37)</f>
        <v>27111.5625</v>
      </c>
      <c r="G157" s="67" t="n">
        <f aca="false">(G90+G107+G124+G142)*(1+Assumptions!$C$37)</f>
        <v>27255.9375</v>
      </c>
      <c r="H157" s="67" t="n">
        <f aca="false">(H90+H107+H124+H142)*(1+Assumptions!$C$37)</f>
        <v>26915.625</v>
      </c>
      <c r="I157" s="67" t="n">
        <f aca="false">(I90+I107+I124+I142)*(1+Assumptions!$C$37)</f>
        <v>26575.3125</v>
      </c>
      <c r="J157" s="67" t="n">
        <f aca="false">(J90+J107+J124+J142)*(1+Assumptions!$C$37)</f>
        <v>26358.75</v>
      </c>
      <c r="K157" s="67" t="n">
        <f aca="false">(K90+K107+K124+K142)*(1+Assumptions!$C$37)</f>
        <v>26606.25</v>
      </c>
      <c r="L157" s="67" t="n">
        <f aca="false">(L90+L107+L124+L142)*(1+Assumptions!$C$37)</f>
        <v>26606.25</v>
      </c>
      <c r="M157" s="67" t="n">
        <f aca="false">(M90+M107+M124+M142)*(1+Assumptions!$C$37)</f>
        <v>26342.765625</v>
      </c>
      <c r="N157" s="67" t="n">
        <f aca="false">(N90+N107+N124+N142)*(1+Assumptions!$C$37)</f>
        <v>27010.1989895833</v>
      </c>
      <c r="O157" s="67" t="n">
        <f aca="false">(O90+O107+O124+O142)*(1+Assumptions!$C$37)</f>
        <v>27737.1129707031</v>
      </c>
      <c r="P157" s="67" t="n">
        <f aca="false">(P90+P107+P124+P142)*(1+Assumptions!$C$37)</f>
        <v>27720.5694569636</v>
      </c>
      <c r="Q157" s="67" t="n">
        <f aca="false">(Q90+Q107+Q124+Q142)*(1+Assumptions!$C$37)</f>
        <v>30051.9617449831</v>
      </c>
      <c r="R157" s="67" t="n">
        <f aca="false">(R90+R107+R124+R142)*(1+Assumptions!$C$37)</f>
        <v>30035.8332704168</v>
      </c>
      <c r="S157" s="67" t="n">
        <f aca="false">(S90+S107+S124+S142)*(1+Assumptions!$C$37)</f>
        <v>30274.6091626914</v>
      </c>
      <c r="T157" s="67" t="n">
        <f aca="false">(T90+T107+T124+T142)*(1+Assumptions!$C$37)</f>
        <v>30548.16387718</v>
      </c>
      <c r="U157" s="67" t="n">
        <f aca="false">(U90+U107+U124+U142)*(1+Assumptions!$C$37)</f>
        <v>30542.178576583</v>
      </c>
      <c r="V157" s="67" t="n">
        <f aca="false">(V90+V107+V124+V142)*(1+Assumptions!$C$37)</f>
        <v>30889.5789589246</v>
      </c>
      <c r="W157" s="67" t="n">
        <f aca="false">(W90+W107+W124+W142)*(1+Assumptions!$C$37)</f>
        <v>30885.5958322315</v>
      </c>
      <c r="X157" s="67" t="n">
        <f aca="false">(X90+X107+X124+X142)*(1+Assumptions!$C$37)</f>
        <v>30881.5892968113</v>
      </c>
      <c r="Y157" s="67" t="n">
        <f aca="false">(Y90+Y107+Y124+Y142)*(1+Assumptions!$C$37)</f>
        <v>30881.6825093341</v>
      </c>
      <c r="Z157" s="67" t="n">
        <f aca="false">(Z90+Z107+Z124+Z142)*(1+Assumptions!$C$37)</f>
        <v>30881.7281647623</v>
      </c>
      <c r="AA157" s="67" t="n">
        <f aca="false">(AA90+AA107+AA124+AA142)*(1+Assumptions!$C$37)</f>
        <v>30881.7265446356</v>
      </c>
      <c r="AB157" s="67" t="n">
        <f aca="false">(AB90+AB107+AB124+AB142)*(1+Assumptions!$C$37)</f>
        <v>30881.7260308907</v>
      </c>
    </row>
    <row r="158" customFormat="false" ht="15" hidden="false" customHeight="false" outlineLevel="0" collapsed="false">
      <c r="A158" s="27" t="s">
        <v>1246</v>
      </c>
      <c r="B158" s="63"/>
      <c r="C158" s="66" t="n">
        <f aca="false">SUM(E158:P158)</f>
        <v>-319041.476816604</v>
      </c>
      <c r="D158" s="66" t="n">
        <f aca="false">SUM(Q158:AB158)</f>
        <v>-369697.713573511</v>
      </c>
      <c r="E158" s="67" t="n">
        <f aca="false">-(E88+E105+E122+E140+E91+E108+E125+E143)*(1+Assumptions!$C$37)</f>
        <v>-6400.35</v>
      </c>
      <c r="F158" s="67" t="n">
        <f aca="false">-(F88+F105+F122+F140+F91+F108+F125+F143)*(1+Assumptions!$C$37)</f>
        <v>-8133.46875</v>
      </c>
      <c r="G158" s="67" t="n">
        <f aca="false">-(G88+G105+G122+G140+G91+G108+G125+G143)*(1+Assumptions!$C$37)</f>
        <v>-8176.78125</v>
      </c>
      <c r="H158" s="67" t="n">
        <f aca="false">-(H88+H105+H122+H140+H91+H108+H125+H143)*(1+Assumptions!$C$37)</f>
        <v>-14534.4375</v>
      </c>
      <c r="I158" s="67" t="n">
        <f aca="false">-(I88+I105+I122+I140+I91+I108+I125+I143)*(1+Assumptions!$C$37)</f>
        <v>-9567.1125</v>
      </c>
      <c r="J158" s="67" t="n">
        <f aca="false">-(J88+J105+J122+J140+J91+J108+J125+J143)*(1+Assumptions!$C$37)</f>
        <v>-172386.225</v>
      </c>
      <c r="K158" s="67" t="n">
        <f aca="false">-(K88+K105+K122+K140+K91+K108+K125+K143)*(1+Assumptions!$C$37)</f>
        <v>-22349.25</v>
      </c>
      <c r="L158" s="67" t="n">
        <f aca="false">-(L88+L105+L122+L140+L91+L108+L125+L143)*(1+Assumptions!$C$37)</f>
        <v>-35120.25</v>
      </c>
      <c r="M158" s="67" t="n">
        <f aca="false">-(M88+M105+M122+M140+M91+M108+M125+M143)*(1+Assumptions!$C$37)</f>
        <v>-12644.5275</v>
      </c>
      <c r="N158" s="67" t="n">
        <f aca="false">-(N88+N105+N122+N140+N91+N108+N125+N143)*(1+Assumptions!$C$37)</f>
        <v>-8103.059696875</v>
      </c>
      <c r="O158" s="67" t="n">
        <f aca="false">-(O88+O105+O122+O140+O91+O108+O125+O143)*(1+Assumptions!$C$37)</f>
        <v>-6656.90711296875</v>
      </c>
      <c r="P158" s="67" t="n">
        <f aca="false">-(P88+P105+P122+P140+P91+P108+P125+P143)*(1+Assumptions!$C$37)</f>
        <v>-14969.1075067603</v>
      </c>
      <c r="Q158" s="67" t="n">
        <f aca="false">-(Q88+Q105+Q122+Q140+Q91+Q108+Q125+Q143)*(1+Assumptions!$C$37)</f>
        <v>-7212.47081879594</v>
      </c>
      <c r="R158" s="67" t="n">
        <f aca="false">-(R88+R105+R122+R140+R91+R108+R125+R143)*(1+Assumptions!$C$37)</f>
        <v>-9010.74998112505</v>
      </c>
      <c r="S158" s="67" t="n">
        <f aca="false">-(S88+S105+S122+S140+S91+S108+S125+S143)*(1+Assumptions!$C$37)</f>
        <v>-9082.38274880743</v>
      </c>
      <c r="T158" s="67" t="n">
        <f aca="false">-(T88+T105+T122+T140+T91+T108+T125+T143)*(1+Assumptions!$C$37)</f>
        <v>-16496.0084936772</v>
      </c>
      <c r="U158" s="67" t="n">
        <f aca="false">-(U88+U105+U122+U140+U91+U108+U125+U143)*(1+Assumptions!$C$37)</f>
        <v>-10995.1842875699</v>
      </c>
      <c r="V158" s="67" t="n">
        <f aca="false">-(V88+V105+V122+V140+V91+V108+V125+V143)*(1+Assumptions!$C$37)</f>
        <v>-202017.846391367</v>
      </c>
      <c r="W158" s="67" t="n">
        <f aca="false">-(W88+W105+W122+W140+W91+W108+W125+W143)*(1+Assumptions!$C$37)</f>
        <v>-25943.9004990745</v>
      </c>
      <c r="X158" s="67" t="n">
        <f aca="false">-(X88+X105+X122+X140+X91+X108+X125+X143)*(1+Assumptions!$C$37)</f>
        <v>-40763.6978717909</v>
      </c>
      <c r="Y158" s="67" t="n">
        <f aca="false">-(Y88+Y105+Y122+Y140+Y91+Y108+Y125+Y143)*(1+Assumptions!$C$37)</f>
        <v>-14823.2076044804</v>
      </c>
      <c r="Z158" s="67" t="n">
        <f aca="false">-(Z88+Z105+Z122+Z140+Z91+Z108+Z125+Z143)*(1+Assumptions!$C$37)</f>
        <v>-9264.5184494287</v>
      </c>
      <c r="AA158" s="67" t="n">
        <f aca="false">-(AA88+AA105+AA122+AA140+AA91+AA108+AA125+AA143)*(1+Assumptions!$C$37)</f>
        <v>-7411.61437071254</v>
      </c>
      <c r="AB158" s="67" t="n">
        <f aca="false">-(AB88+AB105+AB122+AB140+AB91+AB108+AB125+AB143)*(1+Assumptions!$C$37)</f>
        <v>-16676.132056681</v>
      </c>
    </row>
    <row r="159" customFormat="false" ht="15" hidden="false" customHeight="false" outlineLevel="0" collapsed="false">
      <c r="A159" s="27" t="s">
        <v>1247</v>
      </c>
      <c r="B159" s="63" t="s">
        <v>1248</v>
      </c>
      <c r="C159" s="66" t="n">
        <f aca="false">SUM(E159:P159)</f>
        <v>9716.53448176938</v>
      </c>
      <c r="D159" s="66" t="n">
        <f aca="false">SUM(Q159:AB159)</f>
        <v>0</v>
      </c>
      <c r="E159" s="76" t="n">
        <f aca="false">0</f>
        <v>0</v>
      </c>
      <c r="F159" s="76" t="n">
        <f aca="false">0</f>
        <v>0</v>
      </c>
      <c r="G159" s="76" t="n">
        <f aca="false">0</f>
        <v>0</v>
      </c>
      <c r="H159" s="76" t="n">
        <f aca="false">0</f>
        <v>0</v>
      </c>
      <c r="I159" s="76" t="n">
        <f aca="false">0</f>
        <v>0</v>
      </c>
      <c r="J159" s="76" t="n">
        <f aca="false">0</f>
        <v>0</v>
      </c>
      <c r="K159" s="76" t="n">
        <f aca="false">0</f>
        <v>0</v>
      </c>
      <c r="L159" s="76" t="n">
        <f aca="false">0</f>
        <v>0</v>
      </c>
      <c r="M159" s="76" t="n">
        <f aca="false">0</f>
        <v>0</v>
      </c>
      <c r="N159" s="76" t="n">
        <f aca="false">0</f>
        <v>0</v>
      </c>
      <c r="O159" s="76" t="n">
        <f aca="false">0</f>
        <v>0</v>
      </c>
      <c r="P159" s="67" t="n">
        <f aca="false">(O160+P157+P158)*Assumptions!$F$191</f>
        <v>9716.53448176938</v>
      </c>
      <c r="Q159" s="76" t="n">
        <f aca="false">0</f>
        <v>0</v>
      </c>
      <c r="R159" s="76" t="n">
        <f aca="false">0</f>
        <v>0</v>
      </c>
      <c r="S159" s="76" t="n">
        <f aca="false">0</f>
        <v>0</v>
      </c>
      <c r="T159" s="76" t="n">
        <f aca="false">0</f>
        <v>0</v>
      </c>
      <c r="U159" s="76" t="n">
        <f aca="false">0</f>
        <v>0</v>
      </c>
      <c r="V159" s="76" t="n">
        <f aca="false">0</f>
        <v>0</v>
      </c>
      <c r="W159" s="76" t="n">
        <f aca="false">0</f>
        <v>0</v>
      </c>
      <c r="X159" s="76" t="n">
        <f aca="false">0</f>
        <v>0</v>
      </c>
      <c r="Y159" s="76" t="n">
        <f aca="false">0</f>
        <v>0</v>
      </c>
      <c r="Z159" s="76" t="n">
        <f aca="false">0</f>
        <v>0</v>
      </c>
      <c r="AA159" s="76" t="n">
        <f aca="false">0</f>
        <v>0</v>
      </c>
      <c r="AB159" s="76" t="n">
        <f aca="false">0</f>
        <v>0</v>
      </c>
    </row>
    <row r="160" customFormat="false" ht="15" hidden="false" customHeight="false" outlineLevel="0" collapsed="false">
      <c r="A160" s="59" t="s">
        <v>1249</v>
      </c>
      <c r="B160" s="60" t="s">
        <v>1250</v>
      </c>
      <c r="C160" s="61" t="n">
        <f aca="false">P160</f>
        <v>333601.017207415</v>
      </c>
      <c r="D160" s="61" t="n">
        <f aca="false">AB160</f>
        <v>331539.677603349</v>
      </c>
      <c r="E160" s="62" t="n">
        <f aca="false">Inputs_Actuals!$C$306+E157+E158+E159</f>
        <v>340285.275</v>
      </c>
      <c r="F160" s="61" t="n">
        <f aca="false">E160+F157+F158+F159</f>
        <v>359263.36875</v>
      </c>
      <c r="G160" s="61" t="n">
        <f aca="false">F160+G157+G158+G159</f>
        <v>378342.525</v>
      </c>
      <c r="H160" s="61" t="n">
        <f aca="false">G160+H157+H158+H159</f>
        <v>390723.7125</v>
      </c>
      <c r="I160" s="61" t="n">
        <f aca="false">H160+I157+I158+I159</f>
        <v>407731.9125</v>
      </c>
      <c r="J160" s="61" t="n">
        <f aca="false">I160+J157+J158+J159</f>
        <v>261704.4375</v>
      </c>
      <c r="K160" s="61" t="n">
        <f aca="false">J160+K157+K158+K159</f>
        <v>265961.4375</v>
      </c>
      <c r="L160" s="61" t="n">
        <f aca="false">K160+L157+L158+L159</f>
        <v>257447.4375</v>
      </c>
      <c r="M160" s="61" t="n">
        <f aca="false">L160+M157+M158+M159</f>
        <v>271145.675625</v>
      </c>
      <c r="N160" s="61" t="n">
        <f aca="false">M160+N157+N158+N159</f>
        <v>290052.814917708</v>
      </c>
      <c r="O160" s="61" t="n">
        <f aca="false">N160+O157+O158+O159</f>
        <v>311133.020775443</v>
      </c>
      <c r="P160" s="61" t="n">
        <f aca="false">O160+P157+P158+P159</f>
        <v>333601.017207415</v>
      </c>
      <c r="Q160" s="61" t="n">
        <f aca="false">P160+Q157+Q158+Q159</f>
        <v>356440.508133602</v>
      </c>
      <c r="R160" s="61" t="n">
        <f aca="false">Q160+R157+R158+R159</f>
        <v>377465.591422894</v>
      </c>
      <c r="S160" s="61" t="n">
        <f aca="false">R160+S157+S158+S159</f>
        <v>398657.817836778</v>
      </c>
      <c r="T160" s="61" t="n">
        <f aca="false">S160+T157+T158+T159</f>
        <v>412709.973220281</v>
      </c>
      <c r="U160" s="61" t="n">
        <f aca="false">T160+U157+U158+U159</f>
        <v>432256.967509294</v>
      </c>
      <c r="V160" s="61" t="n">
        <f aca="false">U160+V157+V158+V159</f>
        <v>261128.700076852</v>
      </c>
      <c r="W160" s="61" t="n">
        <f aca="false">V160+W157+W158+W159</f>
        <v>266070.395410009</v>
      </c>
      <c r="X160" s="61" t="n">
        <f aca="false">W160+X157+X158+X159</f>
        <v>256188.286835029</v>
      </c>
      <c r="Y160" s="61" t="n">
        <f aca="false">X160+Y157+Y158+Y159</f>
        <v>272246.761739883</v>
      </c>
      <c r="Z160" s="61" t="n">
        <f aca="false">Y160+Z157+Z158+Z159</f>
        <v>293863.971455216</v>
      </c>
      <c r="AA160" s="61" t="n">
        <f aca="false">Z160+AA157+AA158+AA159</f>
        <v>317334.083629139</v>
      </c>
      <c r="AB160" s="61" t="n">
        <f aca="false">AA160+AB157+AB158+AB159</f>
        <v>331539.677603349</v>
      </c>
    </row>
    <row r="161" customFormat="false" ht="15" hidden="false" customHeight="false" outlineLevel="0" collapsed="false">
      <c r="A161" s="59" t="s">
        <v>1251</v>
      </c>
      <c r="B161" s="60"/>
      <c r="C161" s="61" t="n">
        <f aca="false">P161</f>
        <v>0</v>
      </c>
      <c r="D161" s="61" t="n">
        <f aca="false">AB161</f>
        <v>0</v>
      </c>
      <c r="E161" s="61" t="n">
        <f aca="false">E100+E117+E135+E152</f>
        <v>13334.0625</v>
      </c>
      <c r="F161" s="61" t="n">
        <f aca="false">F100+F117+F135+F152</f>
        <v>26889.84375</v>
      </c>
      <c r="G161" s="61" t="n">
        <f aca="false">G100+G117+G135+G152</f>
        <v>40517.8125</v>
      </c>
      <c r="H161" s="61" t="n">
        <f aca="false">H100+H117+H135+H152</f>
        <v>53975.625</v>
      </c>
      <c r="I161" s="61" t="n">
        <f aca="false">I100+I117+I135+I152</f>
        <v>67263.28125</v>
      </c>
      <c r="J161" s="61" t="n">
        <f aca="false">J100+J117+J135+J152</f>
        <v>80442.65625</v>
      </c>
      <c r="K161" s="61" t="n">
        <f aca="false">K100+K117+K135+K152</f>
        <v>93745.78125</v>
      </c>
      <c r="L161" s="61" t="n">
        <f aca="false">L100+L117+L135+L152</f>
        <v>107048.90625</v>
      </c>
      <c r="M161" s="61" t="n">
        <f aca="false">M100+M117+M135+M152</f>
        <v>120220.2890625</v>
      </c>
      <c r="N161" s="61" t="n">
        <f aca="false">N100+N117+N135+N152</f>
        <v>133725.388557292</v>
      </c>
      <c r="O161" s="61" t="n">
        <f aca="false">O100+O117+O135+O152</f>
        <v>-13868.5564853516</v>
      </c>
      <c r="P161" s="61" t="n">
        <f aca="false">P100+P117+P135+P152</f>
        <v>0</v>
      </c>
      <c r="Q161" s="61" t="n">
        <f aca="false">Q100+Q117+Q135+Q152</f>
        <v>15025.9808724916</v>
      </c>
      <c r="R161" s="61" t="n">
        <f aca="false">R100+R117+R135+R152</f>
        <v>30043.8975077</v>
      </c>
      <c r="S161" s="61" t="n">
        <f aca="false">S100+S117+S135+S152</f>
        <v>45181.2020890457</v>
      </c>
      <c r="T161" s="61" t="n">
        <f aca="false">T100+T117+T135+T152</f>
        <v>60455.2840276357</v>
      </c>
      <c r="U161" s="61" t="n">
        <f aca="false">U100+U117+U135+U152</f>
        <v>75726.3733159272</v>
      </c>
      <c r="V161" s="61" t="n">
        <f aca="false">V100+V117+V135+V152</f>
        <v>91171.1627953895</v>
      </c>
      <c r="W161" s="61" t="n">
        <f aca="false">W100+W117+W135+W152</f>
        <v>106613.960711505</v>
      </c>
      <c r="X161" s="61" t="n">
        <f aca="false">X100+X117+X135+X152</f>
        <v>122054.755359911</v>
      </c>
      <c r="Y161" s="61" t="n">
        <f aca="false">Y100+Y117+Y135+Y152</f>
        <v>137495.596614578</v>
      </c>
      <c r="Z161" s="61" t="n">
        <f aca="false">Z100+Z117+Z135+Z152</f>
        <v>152936.460696959</v>
      </c>
      <c r="AA161" s="61" t="n">
        <f aca="false">AA100+AA117+AA135+AA152</f>
        <v>-15440.8632723178</v>
      </c>
      <c r="AB161" s="61" t="n">
        <f aca="false">AB100+AB117+AB135+AB152</f>
        <v>0</v>
      </c>
    </row>
    <row r="162" customFormat="false" ht="15" hidden="false" customHeight="false" outlineLevel="0" collapsed="false">
      <c r="A162" s="27" t="s">
        <v>1252</v>
      </c>
      <c r="B162" s="63"/>
      <c r="C162" s="66" t="n">
        <f aca="false">SUM(E162:P162)</f>
        <v>0</v>
      </c>
      <c r="D162" s="66" t="n">
        <f aca="false">SUM(Q162:AB162)</f>
        <v>0</v>
      </c>
      <c r="E162" s="67" t="n">
        <f aca="false">IF(Assumptions!E$204=12,ROUND(E161,0),0)</f>
        <v>0</v>
      </c>
      <c r="F162" s="67" t="n">
        <f aca="false">IF(Assumptions!F$204=12,ROUND(F161,0),0)</f>
        <v>0</v>
      </c>
      <c r="G162" s="67" t="n">
        <f aca="false">IF(Assumptions!G$204=12,ROUND(G161,0),0)</f>
        <v>0</v>
      </c>
      <c r="H162" s="67" t="n">
        <f aca="false">IF(Assumptions!H$204=12,ROUND(H161,0),0)</f>
        <v>0</v>
      </c>
      <c r="I162" s="67" t="n">
        <f aca="false">IF(Assumptions!I$204=12,ROUND(I161,0),0)</f>
        <v>0</v>
      </c>
      <c r="J162" s="67" t="n">
        <f aca="false">IF(Assumptions!J$204=12,ROUND(J161,0),0)</f>
        <v>0</v>
      </c>
      <c r="K162" s="67" t="n">
        <f aca="false">IF(Assumptions!K$204=12,ROUND(K161,0),0)</f>
        <v>0</v>
      </c>
      <c r="L162" s="67" t="n">
        <f aca="false">IF(Assumptions!L$204=12,ROUND(L161,0),0)</f>
        <v>0</v>
      </c>
      <c r="M162" s="67" t="n">
        <f aca="false">IF(Assumptions!M$204=12,ROUND(M161,0),0)</f>
        <v>0</v>
      </c>
      <c r="N162" s="67" t="n">
        <f aca="false">IF(Assumptions!N$204=12,ROUND(N161,0),0)</f>
        <v>0</v>
      </c>
      <c r="O162" s="67" t="n">
        <f aca="false">IF(Assumptions!O$204=12,ROUND(O161,0),0)</f>
        <v>0</v>
      </c>
      <c r="P162" s="67" t="n">
        <f aca="false">IF(Assumptions!P$204=12,ROUND(P161,0),0)</f>
        <v>0</v>
      </c>
      <c r="Q162" s="67" t="n">
        <f aca="false">IF(Assumptions!Q$204=12,ROUND(Q161,0),0)</f>
        <v>0</v>
      </c>
      <c r="R162" s="67" t="n">
        <f aca="false">IF(Assumptions!R$204=12,ROUND(R161,0),0)</f>
        <v>0</v>
      </c>
      <c r="S162" s="67" t="n">
        <f aca="false">IF(Assumptions!S$204=12,ROUND(S161,0),0)</f>
        <v>0</v>
      </c>
      <c r="T162" s="67" t="n">
        <f aca="false">IF(Assumptions!T$204=12,ROUND(T161,0),0)</f>
        <v>0</v>
      </c>
      <c r="U162" s="67" t="n">
        <f aca="false">IF(Assumptions!U$204=12,ROUND(U161,0),0)</f>
        <v>0</v>
      </c>
      <c r="V162" s="67" t="n">
        <f aca="false">IF(Assumptions!V$204=12,ROUND(V161,0),0)</f>
        <v>0</v>
      </c>
      <c r="W162" s="67" t="n">
        <f aca="false">IF(Assumptions!W$204=12,ROUND(W161,0),0)</f>
        <v>0</v>
      </c>
      <c r="X162" s="67" t="n">
        <f aca="false">IF(Assumptions!X$204=12,ROUND(X161,0),0)</f>
        <v>0</v>
      </c>
      <c r="Y162" s="67" t="n">
        <f aca="false">IF(Assumptions!Y$204=12,ROUND(Y161,0),0)</f>
        <v>0</v>
      </c>
      <c r="Z162" s="67" t="n">
        <f aca="false">IF(Assumptions!Z$204=12,ROUND(Z161,0),0)</f>
        <v>0</v>
      </c>
      <c r="AA162" s="67" t="n">
        <f aca="false">IF(Assumptions!AA$204=12,ROUND(AA161,0),0)</f>
        <v>0</v>
      </c>
      <c r="AB162" s="67" t="n">
        <f aca="false">IF(Assumptions!AB$204=12,ROUND(AB161,0),0)</f>
        <v>0</v>
      </c>
    </row>
    <row r="163" customFormat="false" ht="15" hidden="false" customHeight="false" outlineLevel="0" collapsed="false">
      <c r="A163" s="21" t="s">
        <v>1253</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row>
    <row r="164" customFormat="false" ht="15" hidden="false" customHeight="false" outlineLevel="0" collapsed="false">
      <c r="A164" s="27" t="s">
        <v>1254</v>
      </c>
      <c r="B164" s="63" t="s">
        <v>1255</v>
      </c>
      <c r="C164" s="66" t="n">
        <f aca="false">SUM(E164:P164)</f>
        <v>31383.4572</v>
      </c>
      <c r="D164" s="66" t="n">
        <f aca="false">SUM(Q164:AB164)</f>
        <v>16880.964</v>
      </c>
      <c r="E164" s="67" t="n">
        <f aca="false">IF(E$5="A",Inputs_Actuals!E239,Assumptions!$C$86*Contracts!E172+Assumptions!$C$87*Hardware!E10)</f>
        <v>730.98</v>
      </c>
      <c r="F164" s="67" t="n">
        <f aca="false">IF(F$5="A",Inputs_Actuals!F239,Assumptions!$C$86*Contracts!F172+Assumptions!$C$87*Hardware!F10)</f>
        <v>762.39</v>
      </c>
      <c r="G164" s="67" t="n">
        <f aca="false">IF(G$5="A",Inputs_Actuals!G239,Assumptions!$C$86*Contracts!G172+Assumptions!$C$87*Hardware!G10)</f>
        <v>4644.48</v>
      </c>
      <c r="H164" s="67" t="n">
        <f aca="false">IF(H$5="A",Inputs_Actuals!H239,Assumptions!$C$86*Contracts!H172+Assumptions!$C$87*Hardware!H10)</f>
        <v>765.81</v>
      </c>
      <c r="I164" s="67" t="n">
        <f aca="false">IF(I$5="A",Inputs_Actuals!I239,Assumptions!$C$86*Contracts!I172+Assumptions!$C$87*Hardware!I10)</f>
        <v>3870.36</v>
      </c>
      <c r="J164" s="67" t="n">
        <f aca="false">IF(J$5="A",Inputs_Actuals!J239,Assumptions!$C$86*Contracts!J172+Assumptions!$C$87*Hardware!J10)</f>
        <v>899.64</v>
      </c>
      <c r="K164" s="67" t="n">
        <f aca="false">IF(K$5="A",Inputs_Actuals!K239,Assumptions!$C$86*Contracts!K172+Assumptions!$C$87*Hardware!K10)</f>
        <v>5366.4</v>
      </c>
      <c r="L164" s="67" t="n">
        <f aca="false">IF(L$5="A",Inputs_Actuals!L239,Assumptions!$C$86*Contracts!L172+Assumptions!$C$87*Hardware!L10)</f>
        <v>461.01</v>
      </c>
      <c r="M164" s="67" t="n">
        <f aca="false">IF(M$5="A",Inputs_Actuals!M239,Assumptions!$C$86*Contracts!M172+Assumptions!$C$87*Hardware!M10)</f>
        <v>942.4896</v>
      </c>
      <c r="N164" s="67" t="n">
        <f aca="false">IF(N$5="A",Inputs_Actuals!N239,Assumptions!$C$86*Contracts!N172+Assumptions!$C$87*Hardware!N10)</f>
        <v>1022.3616</v>
      </c>
      <c r="O164" s="67" t="n">
        <f aca="false">IF(O$5="A",Inputs_Actuals!O239,Assumptions!$C$86*Contracts!O172+Assumptions!$C$87*Hardware!O10)</f>
        <v>11134.7904</v>
      </c>
      <c r="P164" s="67" t="n">
        <f aca="false">IF(P$5="A",Inputs_Actuals!P239,Assumptions!$C$86*Contracts!P172+Assumptions!$C$87*Hardware!P10)</f>
        <v>782.7456</v>
      </c>
      <c r="Q164" s="67" t="n">
        <f aca="false">IF(Q$5="A",Inputs_Actuals!Q239,Assumptions!$C$86*Contracts!Q172+Assumptions!$C$87*Hardware!Q10)</f>
        <v>3381.2736</v>
      </c>
      <c r="R164" s="67" t="n">
        <f aca="false">IF(R$5="A",Inputs_Actuals!R239,Assumptions!$C$86*Contracts!R172+Assumptions!$C$87*Hardware!R10)</f>
        <v>3529.3224</v>
      </c>
      <c r="S164" s="67" t="n">
        <f aca="false">IF(S$5="A",Inputs_Actuals!S239,Assumptions!$C$86*Contracts!S172+Assumptions!$C$87*Hardware!S10)</f>
        <v>838.656</v>
      </c>
      <c r="T164" s="67" t="n">
        <f aca="false">IF(T$5="A",Inputs_Actuals!T239,Assumptions!$C$86*Contracts!T172+Assumptions!$C$87*Hardware!T10)</f>
        <v>2622.144</v>
      </c>
      <c r="U164" s="67" t="n">
        <f aca="false">IF(U$5="A",Inputs_Actuals!U239,Assumptions!$C$86*Contracts!U172+Assumptions!$C$87*Hardware!U10)</f>
        <v>798.72</v>
      </c>
      <c r="V164" s="67" t="n">
        <f aca="false">IF(V$5="A",Inputs_Actuals!V239,Assumptions!$C$86*Contracts!V172+Assumptions!$C$87*Hardware!V10)</f>
        <v>894.5664</v>
      </c>
      <c r="W164" s="67" t="n">
        <f aca="false">IF(W$5="A",Inputs_Actuals!W239,Assumptions!$C$86*Contracts!W172+Assumptions!$C$87*Hardware!W10)</f>
        <v>734.8224</v>
      </c>
      <c r="X164" s="67" t="n">
        <f aca="false">IF(X$5="A",Inputs_Actuals!X239,Assumptions!$C$86*Contracts!X172+Assumptions!$C$87*Hardware!X10)</f>
        <v>479.232</v>
      </c>
      <c r="Y164" s="67" t="n">
        <f aca="false">IF(Y$5="A",Inputs_Actuals!Y239,Assumptions!$C$86*Contracts!Y172+Assumptions!$C$87*Hardware!Y10)</f>
        <v>942.4896</v>
      </c>
      <c r="Z164" s="67" t="n">
        <f aca="false">IF(Z$5="A",Inputs_Actuals!Z239,Assumptions!$C$86*Contracts!Z172+Assumptions!$C$87*Hardware!Z10)</f>
        <v>1022.3616</v>
      </c>
      <c r="AA164" s="67" t="n">
        <f aca="false">IF(AA$5="A",Inputs_Actuals!AA239,Assumptions!$C$86*Contracts!AA172+Assumptions!$C$87*Hardware!AA10)</f>
        <v>854.6304</v>
      </c>
      <c r="AB164" s="67" t="n">
        <f aca="false">IF(AB$5="A",Inputs_Actuals!AB239,Assumptions!$C$86*Contracts!AB172+Assumptions!$C$87*Hardware!AB10)</f>
        <v>782.7456</v>
      </c>
    </row>
    <row r="165" customFormat="false" ht="15" hidden="false" customHeight="false" outlineLevel="0" collapsed="false">
      <c r="A165" s="27" t="s">
        <v>1256</v>
      </c>
      <c r="B165" s="63" t="s">
        <v>1257</v>
      </c>
      <c r="C165" s="66" t="n">
        <f aca="false">SUM(E165:P165)</f>
        <v>21728.16</v>
      </c>
      <c r="D165" s="66" t="n">
        <f aca="false">SUM(Q165:AB165)</f>
        <v>7336.26</v>
      </c>
      <c r="E165" s="67" t="n">
        <f aca="false">Assumptions!$C$86*Contracts!E172</f>
        <v>0</v>
      </c>
      <c r="F165" s="67" t="n">
        <f aca="false">Assumptions!$C$86*Contracts!F172</f>
        <v>0</v>
      </c>
      <c r="G165" s="67" t="n">
        <f aca="false">Assumptions!$C$86*Contracts!G172</f>
        <v>3784.32</v>
      </c>
      <c r="H165" s="67" t="n">
        <f aca="false">Assumptions!$C$86*Contracts!H172</f>
        <v>0</v>
      </c>
      <c r="I165" s="67" t="n">
        <f aca="false">Assumptions!$C$86*Contracts!I172</f>
        <v>3049.92</v>
      </c>
      <c r="J165" s="67" t="n">
        <f aca="false">Assumptions!$C$86*Contracts!J172</f>
        <v>0</v>
      </c>
      <c r="K165" s="67" t="n">
        <f aca="false">Assumptions!$C$86*Contracts!K172</f>
        <v>4613.76</v>
      </c>
      <c r="L165" s="67" t="n">
        <f aca="false">Assumptions!$C$86*Contracts!L172</f>
        <v>0</v>
      </c>
      <c r="M165" s="67" t="n">
        <f aca="false">Assumptions!$C$86*Contracts!M172</f>
        <v>0</v>
      </c>
      <c r="N165" s="67" t="n">
        <f aca="false">Assumptions!$C$86*Contracts!N172</f>
        <v>0</v>
      </c>
      <c r="O165" s="67" t="n">
        <f aca="false">Assumptions!$C$86*Contracts!O172</f>
        <v>10280.16</v>
      </c>
      <c r="P165" s="67" t="n">
        <f aca="false">Assumptions!$C$86*Contracts!P172</f>
        <v>0</v>
      </c>
      <c r="Q165" s="67" t="n">
        <f aca="false">Assumptions!$C$86*Contracts!Q172</f>
        <v>2678.4</v>
      </c>
      <c r="R165" s="67" t="n">
        <f aca="false">Assumptions!$C$86*Contracts!R172</f>
        <v>2794.5</v>
      </c>
      <c r="S165" s="67" t="n">
        <f aca="false">Assumptions!$C$86*Contracts!S172</f>
        <v>0</v>
      </c>
      <c r="T165" s="67" t="n">
        <f aca="false">Assumptions!$C$86*Contracts!T172</f>
        <v>1863.36</v>
      </c>
      <c r="U165" s="67" t="n">
        <f aca="false">Assumptions!$C$86*Contracts!U172</f>
        <v>0</v>
      </c>
      <c r="V165" s="67" t="n">
        <f aca="false">Assumptions!$C$86*Contracts!V172</f>
        <v>0</v>
      </c>
      <c r="W165" s="67" t="n">
        <f aca="false">Assumptions!$C$86*Contracts!W172</f>
        <v>0</v>
      </c>
      <c r="X165" s="67" t="n">
        <f aca="false">Assumptions!$C$86*Contracts!X172</f>
        <v>0</v>
      </c>
      <c r="Y165" s="67" t="n">
        <f aca="false">Assumptions!$C$86*Contracts!Y172</f>
        <v>0</v>
      </c>
      <c r="Z165" s="67" t="n">
        <f aca="false">Assumptions!$C$86*Contracts!Z172</f>
        <v>0</v>
      </c>
      <c r="AA165" s="67" t="n">
        <f aca="false">Assumptions!$C$86*Contracts!AA172</f>
        <v>0</v>
      </c>
      <c r="AB165" s="67" t="n">
        <f aca="false">Assumptions!$C$86*Contracts!AB172</f>
        <v>0</v>
      </c>
    </row>
    <row r="166" customFormat="false" ht="15" hidden="false" customHeight="false" outlineLevel="0" collapsed="false">
      <c r="A166" s="27" t="s">
        <v>1258</v>
      </c>
      <c r="B166" s="63"/>
      <c r="C166" s="66" t="n">
        <f aca="false">SUM(E166:P166)</f>
        <v>9655.2972</v>
      </c>
      <c r="D166" s="66" t="n">
        <f aca="false">SUM(Q166:AB166)</f>
        <v>9544.704</v>
      </c>
      <c r="E166" s="76" t="n">
        <f aca="false">E164-E165</f>
        <v>730.98</v>
      </c>
      <c r="F166" s="76" t="n">
        <f aca="false">F164-F165</f>
        <v>762.39</v>
      </c>
      <c r="G166" s="76" t="n">
        <f aca="false">G164-G165</f>
        <v>860.16</v>
      </c>
      <c r="H166" s="76" t="n">
        <f aca="false">H164-H165</f>
        <v>765.81</v>
      </c>
      <c r="I166" s="76" t="n">
        <f aca="false">I164-I165</f>
        <v>820.44</v>
      </c>
      <c r="J166" s="76" t="n">
        <f aca="false">J164-J165</f>
        <v>899.64</v>
      </c>
      <c r="K166" s="76" t="n">
        <f aca="false">K164-K165</f>
        <v>752.639999999999</v>
      </c>
      <c r="L166" s="76" t="n">
        <f aca="false">L164-L165</f>
        <v>461.01</v>
      </c>
      <c r="M166" s="76" t="n">
        <f aca="false">M164-M165</f>
        <v>942.4896</v>
      </c>
      <c r="N166" s="76" t="n">
        <f aca="false">N164-N165</f>
        <v>1022.3616</v>
      </c>
      <c r="O166" s="76" t="n">
        <f aca="false">O164-O165</f>
        <v>854.6304</v>
      </c>
      <c r="P166" s="76" t="n">
        <f aca="false">P164-P165</f>
        <v>782.7456</v>
      </c>
      <c r="Q166" s="76" t="n">
        <f aca="false">Q164-Q165</f>
        <v>702.8736</v>
      </c>
      <c r="R166" s="76" t="n">
        <f aca="false">R164-R165</f>
        <v>734.8224</v>
      </c>
      <c r="S166" s="76" t="n">
        <f aca="false">S164-S165</f>
        <v>838.656</v>
      </c>
      <c r="T166" s="76" t="n">
        <f aca="false">T164-T165</f>
        <v>758.783999999999</v>
      </c>
      <c r="U166" s="76" t="n">
        <f aca="false">U164-U165</f>
        <v>798.72</v>
      </c>
      <c r="V166" s="76" t="n">
        <f aca="false">V164-V165</f>
        <v>894.5664</v>
      </c>
      <c r="W166" s="76" t="n">
        <f aca="false">W164-W165</f>
        <v>734.8224</v>
      </c>
      <c r="X166" s="76" t="n">
        <f aca="false">X164-X165</f>
        <v>479.232</v>
      </c>
      <c r="Y166" s="76" t="n">
        <f aca="false">Y164-Y165</f>
        <v>942.4896</v>
      </c>
      <c r="Z166" s="76" t="n">
        <f aca="false">Z164-Z165</f>
        <v>1022.3616</v>
      </c>
      <c r="AA166" s="76" t="n">
        <f aca="false">AA164-AA165</f>
        <v>854.6304</v>
      </c>
      <c r="AB166" s="76" t="n">
        <f aca="false">AB164-AB165</f>
        <v>782.7456</v>
      </c>
    </row>
    <row r="167" customFormat="false" ht="15" hidden="false" customHeight="false" outlineLevel="0" collapsed="false">
      <c r="A167" s="27" t="s">
        <v>1259</v>
      </c>
      <c r="B167" s="63"/>
      <c r="C167" s="66" t="n">
        <f aca="false">SUM(E167:P167)</f>
        <v>26888.598</v>
      </c>
      <c r="D167" s="66" t="n">
        <f aca="false">SUM(Q167:AB167)</f>
        <v>9078.62175</v>
      </c>
      <c r="E167" s="67" t="n">
        <f aca="false">E165*(1+Assumptions!$C$37)</f>
        <v>0</v>
      </c>
      <c r="F167" s="67" t="n">
        <f aca="false">F165*(1+Assumptions!$C$37)</f>
        <v>0</v>
      </c>
      <c r="G167" s="67" t="n">
        <f aca="false">G165*(1+Assumptions!$C$37)</f>
        <v>4683.096</v>
      </c>
      <c r="H167" s="67" t="n">
        <f aca="false">H165*(1+Assumptions!$C$37)</f>
        <v>0</v>
      </c>
      <c r="I167" s="67" t="n">
        <f aca="false">I165*(1+Assumptions!$C$37)</f>
        <v>3774.276</v>
      </c>
      <c r="J167" s="67" t="n">
        <f aca="false">J165*(1+Assumptions!$C$37)</f>
        <v>0</v>
      </c>
      <c r="K167" s="67" t="n">
        <f aca="false">K165*(1+Assumptions!$C$37)</f>
        <v>5709.528</v>
      </c>
      <c r="L167" s="67" t="n">
        <f aca="false">L165*(1+Assumptions!$C$37)</f>
        <v>0</v>
      </c>
      <c r="M167" s="67" t="n">
        <f aca="false">M165*(1+Assumptions!$C$37)</f>
        <v>0</v>
      </c>
      <c r="N167" s="67" t="n">
        <f aca="false">N165*(1+Assumptions!$C$37)</f>
        <v>0</v>
      </c>
      <c r="O167" s="67" t="n">
        <f aca="false">O165*(1+Assumptions!$C$37)</f>
        <v>12721.698</v>
      </c>
      <c r="P167" s="67" t="n">
        <f aca="false">P165*(1+Assumptions!$C$37)</f>
        <v>0</v>
      </c>
      <c r="Q167" s="67" t="n">
        <f aca="false">Q165*(1+Assumptions!$C$37)</f>
        <v>3314.52</v>
      </c>
      <c r="R167" s="67" t="n">
        <f aca="false">R165*(1+Assumptions!$C$37)</f>
        <v>3458.19375</v>
      </c>
      <c r="S167" s="67" t="n">
        <f aca="false">S165*(1+Assumptions!$C$37)</f>
        <v>0</v>
      </c>
      <c r="T167" s="67" t="n">
        <f aca="false">T165*(1+Assumptions!$C$37)</f>
        <v>2305.908</v>
      </c>
      <c r="U167" s="67" t="n">
        <f aca="false">U165*(1+Assumptions!$C$37)</f>
        <v>0</v>
      </c>
      <c r="V167" s="67" t="n">
        <f aca="false">V165*(1+Assumptions!$C$37)</f>
        <v>0</v>
      </c>
      <c r="W167" s="67" t="n">
        <f aca="false">W165*(1+Assumptions!$C$37)</f>
        <v>0</v>
      </c>
      <c r="X167" s="67" t="n">
        <f aca="false">X165*(1+Assumptions!$C$37)</f>
        <v>0</v>
      </c>
      <c r="Y167" s="67" t="n">
        <f aca="false">Y165*(1+Assumptions!$C$37)</f>
        <v>0</v>
      </c>
      <c r="Z167" s="67" t="n">
        <f aca="false">Z165*(1+Assumptions!$C$37)</f>
        <v>0</v>
      </c>
      <c r="AA167" s="67" t="n">
        <f aca="false">AA165*(1+Assumptions!$C$37)</f>
        <v>0</v>
      </c>
      <c r="AB167" s="67" t="n">
        <f aca="false">AB165*(1+Assumptions!$C$37)</f>
        <v>0</v>
      </c>
    </row>
    <row r="168" customFormat="false" ht="15" hidden="false" customHeight="false" outlineLevel="0" collapsed="false">
      <c r="A168" s="27" t="s">
        <v>1260</v>
      </c>
      <c r="B168" s="63"/>
      <c r="C168" s="66" t="n">
        <f aca="false">SUM(E168:P168)</f>
        <v>3797.937</v>
      </c>
      <c r="D168" s="66" t="n">
        <f aca="false">SUM(Q168:AB168)</f>
        <v>11700.8533125</v>
      </c>
      <c r="E168" s="76" t="n">
        <f aca="false">SUM(E167:E167)/36</f>
        <v>0</v>
      </c>
      <c r="F168" s="76" t="n">
        <f aca="false">SUM(E167:F167)/36</f>
        <v>0</v>
      </c>
      <c r="G168" s="76" t="n">
        <f aca="false">SUM(E167:G167)/36</f>
        <v>130.086</v>
      </c>
      <c r="H168" s="76" t="n">
        <f aca="false">SUM(E167:H167)/36</f>
        <v>130.086</v>
      </c>
      <c r="I168" s="76" t="n">
        <f aca="false">SUM(E167:I167)/36</f>
        <v>234.927</v>
      </c>
      <c r="J168" s="76" t="n">
        <f aca="false">SUM(E167:J167)/36</f>
        <v>234.927</v>
      </c>
      <c r="K168" s="76" t="n">
        <f aca="false">SUM(E167:K167)/36</f>
        <v>393.525</v>
      </c>
      <c r="L168" s="76" t="n">
        <f aca="false">SUM(E167:L167)/36</f>
        <v>393.525</v>
      </c>
      <c r="M168" s="76" t="n">
        <f aca="false">SUM(E167:M167)/36</f>
        <v>393.525</v>
      </c>
      <c r="N168" s="76" t="n">
        <f aca="false">SUM(E167:N167)/36</f>
        <v>393.525</v>
      </c>
      <c r="O168" s="76" t="n">
        <f aca="false">SUM(E167:O167)/36</f>
        <v>746.9055</v>
      </c>
      <c r="P168" s="76" t="n">
        <f aca="false">SUM(E167:P167)/36</f>
        <v>746.9055</v>
      </c>
      <c r="Q168" s="76" t="n">
        <f aca="false">SUM(E167:Q167)/36</f>
        <v>838.9755</v>
      </c>
      <c r="R168" s="76" t="n">
        <f aca="false">SUM(E167:R167)/36</f>
        <v>935.0364375</v>
      </c>
      <c r="S168" s="76" t="n">
        <f aca="false">SUM(E167:S167)/36</f>
        <v>935.0364375</v>
      </c>
      <c r="T168" s="76" t="n">
        <f aca="false">SUM(E167:T167)/36</f>
        <v>999.0894375</v>
      </c>
      <c r="U168" s="76" t="n">
        <f aca="false">SUM(E167:U167)/36</f>
        <v>999.0894375</v>
      </c>
      <c r="V168" s="76" t="n">
        <f aca="false">SUM(E167:V167)/36</f>
        <v>999.0894375</v>
      </c>
      <c r="W168" s="76" t="n">
        <f aca="false">SUM(E167:W167)/36</f>
        <v>999.0894375</v>
      </c>
      <c r="X168" s="76" t="n">
        <f aca="false">SUM(E167:X167)/36</f>
        <v>999.0894375</v>
      </c>
      <c r="Y168" s="76" t="n">
        <f aca="false">SUM(E167:Y167)/36</f>
        <v>999.0894375</v>
      </c>
      <c r="Z168" s="76" t="n">
        <f aca="false">SUM(E167:Z167)/36</f>
        <v>999.0894375</v>
      </c>
      <c r="AA168" s="76" t="n">
        <f aca="false">SUM(E167:AA167)/36</f>
        <v>999.0894375</v>
      </c>
      <c r="AB168" s="76" t="n">
        <f aca="false">SUM(E167:AB167)/36</f>
        <v>999.0894375</v>
      </c>
    </row>
    <row r="169" customFormat="false" ht="15" hidden="false" customHeight="false" outlineLevel="0" collapsed="false">
      <c r="A169" s="59" t="s">
        <v>1261</v>
      </c>
      <c r="B169" s="60" t="s">
        <v>1262</v>
      </c>
      <c r="C169" s="61" t="n">
        <f aca="false">P169</f>
        <v>23090.661</v>
      </c>
      <c r="D169" s="61" t="n">
        <f aca="false">AB169</f>
        <v>20468.4294375</v>
      </c>
      <c r="E169" s="61" t="n">
        <f aca="false">0+E167-E168</f>
        <v>0</v>
      </c>
      <c r="F169" s="61" t="n">
        <f aca="false">E169+F167-F168</f>
        <v>0</v>
      </c>
      <c r="G169" s="61" t="n">
        <f aca="false">F169+G167-G168</f>
        <v>4553.01</v>
      </c>
      <c r="H169" s="61" t="n">
        <f aca="false">G169+H167-H168</f>
        <v>4422.924</v>
      </c>
      <c r="I169" s="61" t="n">
        <f aca="false">H169+I167-I168</f>
        <v>7962.273</v>
      </c>
      <c r="J169" s="61" t="n">
        <f aca="false">I169+J167-J168</f>
        <v>7727.346</v>
      </c>
      <c r="K169" s="61" t="n">
        <f aca="false">J169+K167-K168</f>
        <v>13043.349</v>
      </c>
      <c r="L169" s="61" t="n">
        <f aca="false">K169+L167-L168</f>
        <v>12649.824</v>
      </c>
      <c r="M169" s="61" t="n">
        <f aca="false">L169+M167-M168</f>
        <v>12256.299</v>
      </c>
      <c r="N169" s="61" t="n">
        <f aca="false">M169+N167-N168</f>
        <v>11862.774</v>
      </c>
      <c r="O169" s="61" t="n">
        <f aca="false">N169+O167-O168</f>
        <v>23837.5665</v>
      </c>
      <c r="P169" s="61" t="n">
        <f aca="false">O169+P167-P168</f>
        <v>23090.661</v>
      </c>
      <c r="Q169" s="61" t="n">
        <f aca="false">P169+Q167-Q168</f>
        <v>25566.2055</v>
      </c>
      <c r="R169" s="61" t="n">
        <f aca="false">Q169+R167-R168</f>
        <v>28089.3628125</v>
      </c>
      <c r="S169" s="61" t="n">
        <f aca="false">R169+S167-S168</f>
        <v>27154.326375</v>
      </c>
      <c r="T169" s="61" t="n">
        <f aca="false">S169+T167-T168</f>
        <v>28461.1449375</v>
      </c>
      <c r="U169" s="61" t="n">
        <f aca="false">T169+U167-U168</f>
        <v>27462.0555</v>
      </c>
      <c r="V169" s="61" t="n">
        <f aca="false">U169+V167-V168</f>
        <v>26462.9660625</v>
      </c>
      <c r="W169" s="61" t="n">
        <f aca="false">V169+W167-W168</f>
        <v>25463.876625</v>
      </c>
      <c r="X169" s="61" t="n">
        <f aca="false">W169+X167-X168</f>
        <v>24464.7871875</v>
      </c>
      <c r="Y169" s="61" t="n">
        <f aca="false">X169+Y167-Y168</f>
        <v>23465.69775</v>
      </c>
      <c r="Z169" s="61" t="n">
        <f aca="false">Y169+Z167-Z168</f>
        <v>22466.6083125</v>
      </c>
      <c r="AA169" s="61" t="n">
        <f aca="false">Z169+AA167-AA168</f>
        <v>21467.518875</v>
      </c>
      <c r="AB169" s="61" t="n">
        <f aca="false">AA169+AB167-AB168</f>
        <v>20468.4294375</v>
      </c>
    </row>
    <row r="170" customFormat="false" ht="15" hidden="false" customHeight="false" outlineLevel="0" collapsed="false">
      <c r="A170" s="59" t="s">
        <v>1263</v>
      </c>
      <c r="B170" s="60"/>
      <c r="C170" s="61" t="n">
        <f aca="false">SUM(E170:P170)</f>
        <v>15746.367285</v>
      </c>
      <c r="D170" s="61" t="n">
        <f aca="false">SUM(Q170:AB170)</f>
        <v>23512.4245125</v>
      </c>
      <c r="E170" s="62" t="n">
        <f aca="false">E166*(1+Assumptions!$C$37)+E168</f>
        <v>904.58775</v>
      </c>
      <c r="F170" s="62" t="n">
        <f aca="false">F166*(1+Assumptions!$C$37)+F168</f>
        <v>943.457625</v>
      </c>
      <c r="G170" s="62" t="n">
        <f aca="false">G166*(1+Assumptions!$C$37)+G168</f>
        <v>1194.534</v>
      </c>
      <c r="H170" s="62" t="n">
        <f aca="false">H166*(1+Assumptions!$C$37)+H168</f>
        <v>1077.775875</v>
      </c>
      <c r="I170" s="62" t="n">
        <f aca="false">I166*(1+Assumptions!$C$37)+I168</f>
        <v>1250.2215</v>
      </c>
      <c r="J170" s="62" t="n">
        <f aca="false">J166*(1+Assumptions!$C$37)+J168</f>
        <v>1348.2315</v>
      </c>
      <c r="K170" s="62" t="n">
        <f aca="false">K166*(1+Assumptions!$C$37)+K168</f>
        <v>1324.917</v>
      </c>
      <c r="L170" s="62" t="n">
        <f aca="false">L166*(1+Assumptions!$C$37)+L168</f>
        <v>964.024875</v>
      </c>
      <c r="M170" s="62" t="n">
        <f aca="false">M166*(1+Assumptions!$C$37)+M168</f>
        <v>1559.85588</v>
      </c>
      <c r="N170" s="62" t="n">
        <f aca="false">N166*(1+Assumptions!$C$37)+N168</f>
        <v>1658.69748</v>
      </c>
      <c r="O170" s="62" t="n">
        <f aca="false">O166*(1+Assumptions!$C$37)+O168</f>
        <v>1804.51062</v>
      </c>
      <c r="P170" s="62" t="n">
        <f aca="false">P166*(1+Assumptions!$C$37)+P168</f>
        <v>1715.55318</v>
      </c>
      <c r="Q170" s="62" t="n">
        <f aca="false">Q166*(1+Assumptions!$C$37)+Q168</f>
        <v>1708.78158</v>
      </c>
      <c r="R170" s="62" t="n">
        <f aca="false">R166*(1+Assumptions!$C$37)+R168</f>
        <v>1844.3791575</v>
      </c>
      <c r="S170" s="62" t="n">
        <f aca="false">S166*(1+Assumptions!$C$37)+S168</f>
        <v>1972.8732375</v>
      </c>
      <c r="T170" s="62" t="n">
        <f aca="false">T166*(1+Assumptions!$C$37)+T168</f>
        <v>1938.0846375</v>
      </c>
      <c r="U170" s="62" t="n">
        <f aca="false">U166*(1+Assumptions!$C$37)+U168</f>
        <v>1987.5054375</v>
      </c>
      <c r="V170" s="62" t="n">
        <f aca="false">V166*(1+Assumptions!$C$37)+V168</f>
        <v>2106.1153575</v>
      </c>
      <c r="W170" s="62" t="n">
        <f aca="false">W166*(1+Assumptions!$C$37)+W168</f>
        <v>1908.4321575</v>
      </c>
      <c r="X170" s="62" t="n">
        <f aca="false">X166*(1+Assumptions!$C$37)+X168</f>
        <v>1592.1390375</v>
      </c>
      <c r="Y170" s="62" t="n">
        <f aca="false">Y166*(1+Assumptions!$C$37)+Y168</f>
        <v>2165.4203175</v>
      </c>
      <c r="Z170" s="62" t="n">
        <f aca="false">Z166*(1+Assumptions!$C$37)+Z168</f>
        <v>2264.2619175</v>
      </c>
      <c r="AA170" s="62" t="n">
        <f aca="false">AA166*(1+Assumptions!$C$37)+AA168</f>
        <v>2056.6945575</v>
      </c>
      <c r="AB170" s="62" t="n">
        <f aca="false">AB166*(1+Assumptions!$C$37)+AB168</f>
        <v>1967.7371175</v>
      </c>
    </row>
    <row r="171" customFormat="false" ht="15" hidden="false" customHeight="false" outlineLevel="0" collapsed="false">
      <c r="A171" s="27" t="s">
        <v>1264</v>
      </c>
      <c r="B171" s="63"/>
      <c r="C171" s="66" t="n">
        <f aca="false">P171</f>
        <v>968.64768</v>
      </c>
      <c r="D171" s="66" t="n">
        <f aca="false">AB171</f>
        <v>968.64768</v>
      </c>
      <c r="E171" s="67" t="n">
        <f aca="false">E164*(1+Assumptions!$C$37)</f>
        <v>904.58775</v>
      </c>
      <c r="F171" s="67" t="n">
        <f aca="false">F164*(1+Assumptions!$C$37)</f>
        <v>943.457625</v>
      </c>
      <c r="G171" s="67" t="n">
        <f aca="false">G164*(1+Assumptions!$C$37)</f>
        <v>5747.544</v>
      </c>
      <c r="H171" s="67" t="n">
        <f aca="false">H164*(1+Assumptions!$C$37)</f>
        <v>947.689875</v>
      </c>
      <c r="I171" s="67" t="n">
        <f aca="false">I164*(1+Assumptions!$C$37)</f>
        <v>4789.5705</v>
      </c>
      <c r="J171" s="67" t="n">
        <f aca="false">J164*(1+Assumptions!$C$37)</f>
        <v>1113.3045</v>
      </c>
      <c r="K171" s="67" t="n">
        <f aca="false">K164*(1+Assumptions!$C$37)</f>
        <v>6640.92</v>
      </c>
      <c r="L171" s="67" t="n">
        <f aca="false">L164*(1+Assumptions!$C$37)</f>
        <v>570.499875</v>
      </c>
      <c r="M171" s="67" t="n">
        <f aca="false">M164*(1+Assumptions!$C$37)</f>
        <v>1166.33088</v>
      </c>
      <c r="N171" s="67" t="n">
        <f aca="false">N164*(1+Assumptions!$C$37)</f>
        <v>1265.17248</v>
      </c>
      <c r="O171" s="67" t="n">
        <f aca="false">O164*(1+Assumptions!$C$37)</f>
        <v>13779.30312</v>
      </c>
      <c r="P171" s="67" t="n">
        <f aca="false">P164*(1+Assumptions!$C$37)</f>
        <v>968.64768</v>
      </c>
      <c r="Q171" s="67" t="n">
        <f aca="false">Q164*(1+Assumptions!$C$37)</f>
        <v>4184.32608</v>
      </c>
      <c r="R171" s="67" t="n">
        <f aca="false">R164*(1+Assumptions!$C$37)</f>
        <v>4367.53647</v>
      </c>
      <c r="S171" s="67" t="n">
        <f aca="false">S164*(1+Assumptions!$C$37)</f>
        <v>1037.8368</v>
      </c>
      <c r="T171" s="67" t="n">
        <f aca="false">T164*(1+Assumptions!$C$37)</f>
        <v>3244.9032</v>
      </c>
      <c r="U171" s="67" t="n">
        <f aca="false">U164*(1+Assumptions!$C$37)</f>
        <v>988.416</v>
      </c>
      <c r="V171" s="67" t="n">
        <f aca="false">V164*(1+Assumptions!$C$37)</f>
        <v>1107.02592</v>
      </c>
      <c r="W171" s="67" t="n">
        <f aca="false">W164*(1+Assumptions!$C$37)</f>
        <v>909.34272</v>
      </c>
      <c r="X171" s="67" t="n">
        <f aca="false">X164*(1+Assumptions!$C$37)</f>
        <v>593.0496</v>
      </c>
      <c r="Y171" s="67" t="n">
        <f aca="false">Y164*(1+Assumptions!$C$37)</f>
        <v>1166.33088</v>
      </c>
      <c r="Z171" s="67" t="n">
        <f aca="false">Z164*(1+Assumptions!$C$37)</f>
        <v>1265.17248</v>
      </c>
      <c r="AA171" s="67" t="n">
        <f aca="false">AA164*(1+Assumptions!$C$37)</f>
        <v>1057.60512</v>
      </c>
      <c r="AB171" s="67" t="n">
        <f aca="false">AB164*(1+Assumptions!$C$37)</f>
        <v>968.64768</v>
      </c>
    </row>
    <row r="172" customFormat="false" ht="15" hidden="false" customHeight="false" outlineLevel="0" collapsed="false">
      <c r="A172" s="21" t="s">
        <v>1265</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row>
    <row r="173" customFormat="false" ht="15" hidden="false" customHeight="false" outlineLevel="0" collapsed="false">
      <c r="A173" s="27" t="s">
        <v>1266</v>
      </c>
      <c r="B173" s="63"/>
      <c r="C173" s="66" t="n">
        <f aca="false">SUM(E173:P173)</f>
        <v>644817.662635895</v>
      </c>
      <c r="D173" s="66" t="n">
        <f aca="false">SUM(Q173:AB173)</f>
        <v>728939.615258962</v>
      </c>
      <c r="E173" s="76" t="n">
        <f aca="false">E94+E111+E129+E146+E95+E112+E130+E147</f>
        <v>45315.69</v>
      </c>
      <c r="F173" s="76" t="n">
        <f aca="false">F94+F111+F129+F146+F95+F112+F130+F147</f>
        <v>45932.9</v>
      </c>
      <c r="G173" s="76" t="n">
        <f aca="false">G94+G111+G129+G146+G95+G112+G130+G147</f>
        <v>46187.05</v>
      </c>
      <c r="H173" s="76" t="n">
        <f aca="false">H94+H111+H129+H146+H95+H112+H130+H147</f>
        <v>46962.7</v>
      </c>
      <c r="I173" s="76" t="n">
        <f aca="false">I94+I111+I129+I146+I95+I112+I130+I147</f>
        <v>45041.5</v>
      </c>
      <c r="J173" s="76" t="n">
        <f aca="false">J94+J111+J129+J146+J95+J112+J130+J147</f>
        <v>90165.95</v>
      </c>
      <c r="K173" s="76" t="n">
        <f aca="false">K94+K111+K129+K146+K95+K112+K130+K147</f>
        <v>45140.12</v>
      </c>
      <c r="L173" s="76" t="n">
        <f aca="false">L94+L111+L129+L146+L95+L112+L130+L147</f>
        <v>46692.32</v>
      </c>
      <c r="M173" s="76" t="n">
        <f aca="false">M94+M111+M129+M146+M95+M112+M130+M147</f>
        <v>44543.769725</v>
      </c>
      <c r="N173" s="76" t="n">
        <f aca="false">N94+N111+N129+N146+N95+N112+N130+N147</f>
        <v>45835.6079790556</v>
      </c>
      <c r="O173" s="76" t="n">
        <f aca="false">O94+O111+O129+O146+O95+O112+O130+O147</f>
        <v>92428.0785953084</v>
      </c>
      <c r="P173" s="76" t="n">
        <f aca="false">P94+P111+P129+P146+P95+P112+P130+P147</f>
        <v>50571.9763365308</v>
      </c>
      <c r="Q173" s="76" t="n">
        <f aca="false">Q94+Q111+Q129+Q146+Q95+Q112+Q130+Q147</f>
        <v>50905.0063087594</v>
      </c>
      <c r="R173" s="76" t="n">
        <f aca="false">R94+R111+R129+R146+R95+R112+R130+R147</f>
        <v>51780.8207528235</v>
      </c>
      <c r="S173" s="76" t="n">
        <f aca="false">S94+S111+S129+S146+S95+S112+S130+S147</f>
        <v>52234.5689111407</v>
      </c>
      <c r="T173" s="76" t="n">
        <f aca="false">T94+T111+T129+T146+T95+T112+T130+T147</f>
        <v>51760.4605833699</v>
      </c>
      <c r="U173" s="76" t="n">
        <f aca="false">U94+U111+U129+U146+U95+U112+U130+U147</f>
        <v>52370.1383387277</v>
      </c>
      <c r="V173" s="76" t="n">
        <f aca="false">V94+V111+V129+V146+V95+V112+V130+V147</f>
        <v>104366.075813104</v>
      </c>
      <c r="W173" s="76" t="n">
        <f aca="false">W94+W111+W129+W146+W95+W112+W130+W147</f>
        <v>52348.411165578</v>
      </c>
      <c r="X173" s="76" t="n">
        <f aca="false">X94+X111+X129+X146+X95+X112+X130+X147</f>
        <v>52286.1497204457</v>
      </c>
      <c r="Y173" s="76" t="n">
        <f aca="false">Y94+Y111+Y129+Y146+Y95+Y112+Y130+Y147</f>
        <v>52197.4891054235</v>
      </c>
      <c r="Z173" s="76" t="n">
        <f aca="false">Z94+Z111+Z129+Z146+Z95+Z112+Z130+Z147</f>
        <v>52358.5480439026</v>
      </c>
      <c r="AA173" s="76" t="n">
        <f aca="false">AA94+AA111+AA129+AA146+AA95+AA112+AA130+AA147</f>
        <v>104003.933211167</v>
      </c>
      <c r="AB173" s="76" t="n">
        <f aca="false">AB94+AB111+AB129+AB146+AB95+AB112+AB130+AB147</f>
        <v>52328.0133045203</v>
      </c>
    </row>
    <row r="174" customFormat="false" ht="15" hidden="false" customHeight="false" outlineLevel="0" collapsed="false">
      <c r="A174" s="27" t="s">
        <v>1267</v>
      </c>
      <c r="B174" s="63" t="s">
        <v>1268</v>
      </c>
      <c r="C174" s="66" t="n">
        <f aca="false">SUM(E174:P174)</f>
        <v>638284.356299364</v>
      </c>
      <c r="D174" s="66" t="n">
        <f aca="false">SUM(Q174:AB174)</f>
        <v>727183.578290973</v>
      </c>
      <c r="E174" s="67" t="n">
        <f aca="false">IF(E$5="A",Inputs_Actuals!E266,Inputs_Actuals!$C$302)</f>
        <v>44038.67</v>
      </c>
      <c r="F174" s="67" t="n">
        <f aca="false">IF(F$5="A",Inputs_Actuals!F266,E175)</f>
        <v>45315.69</v>
      </c>
      <c r="G174" s="67" t="n">
        <f aca="false">IF(G$5="A",Inputs_Actuals!G266,F175)</f>
        <v>45932.9</v>
      </c>
      <c r="H174" s="67" t="n">
        <f aca="false">IF(H$5="A",Inputs_Actuals!H266,G175)</f>
        <v>46187.05</v>
      </c>
      <c r="I174" s="67" t="n">
        <f aca="false">IF(I$5="A",Inputs_Actuals!I266,H175)</f>
        <v>46962.7</v>
      </c>
      <c r="J174" s="67" t="n">
        <f aca="false">IF(J$5="A",Inputs_Actuals!J266,I175)</f>
        <v>45041.5</v>
      </c>
      <c r="K174" s="67" t="n">
        <f aca="false">IF(K$5="A",Inputs_Actuals!K266,J175)</f>
        <v>90165.95</v>
      </c>
      <c r="L174" s="67" t="n">
        <f aca="false">IF(L$5="A",Inputs_Actuals!L266,K175)</f>
        <v>45140.12</v>
      </c>
      <c r="M174" s="67" t="n">
        <f aca="false">IF(M$5="A",Inputs_Actuals!M266,L175)</f>
        <v>46692.32</v>
      </c>
      <c r="N174" s="67" t="n">
        <f aca="false">IF(N$5="A",Inputs_Actuals!N266,M175)</f>
        <v>44543.769725</v>
      </c>
      <c r="O174" s="67" t="n">
        <f aca="false">IF(O$5="A",Inputs_Actuals!O266,N175)</f>
        <v>45835.6079790555</v>
      </c>
      <c r="P174" s="67" t="n">
        <f aca="false">IF(P$5="A",Inputs_Actuals!P266,O175)</f>
        <v>92428.0785953084</v>
      </c>
      <c r="Q174" s="67" t="n">
        <f aca="false">IF(Q$5="A",Inputs_Actuals!Q266,P175)</f>
        <v>50571.9763365308</v>
      </c>
      <c r="R174" s="67" t="n">
        <f aca="false">IF(R$5="A",Inputs_Actuals!R266,Q175)</f>
        <v>50905.0063087594</v>
      </c>
      <c r="S174" s="67" t="n">
        <f aca="false">IF(S$5="A",Inputs_Actuals!S266,R175)</f>
        <v>51780.8207528235</v>
      </c>
      <c r="T174" s="67" t="n">
        <f aca="false">IF(T$5="A",Inputs_Actuals!T266,S175)</f>
        <v>52234.5689111407</v>
      </c>
      <c r="U174" s="67" t="n">
        <f aca="false">IF(U$5="A",Inputs_Actuals!U266,T175)</f>
        <v>51760.4605833699</v>
      </c>
      <c r="V174" s="67" t="n">
        <f aca="false">IF(V$5="A",Inputs_Actuals!V266,U175)</f>
        <v>52370.1383387277</v>
      </c>
      <c r="W174" s="67" t="n">
        <f aca="false">IF(W$5="A",Inputs_Actuals!W266,V175)</f>
        <v>104366.075813104</v>
      </c>
      <c r="X174" s="67" t="n">
        <f aca="false">IF(X$5="A",Inputs_Actuals!X266,W175)</f>
        <v>52348.411165578</v>
      </c>
      <c r="Y174" s="67" t="n">
        <f aca="false">IF(Y$5="A",Inputs_Actuals!Y266,X175)</f>
        <v>52286.1497204457</v>
      </c>
      <c r="Z174" s="67" t="n">
        <f aca="false">IF(Z$5="A",Inputs_Actuals!Z266,Y175)</f>
        <v>52197.4891054235</v>
      </c>
      <c r="AA174" s="67" t="n">
        <f aca="false">IF(AA$5="A",Inputs_Actuals!AA266,Z175)</f>
        <v>52358.5480439026</v>
      </c>
      <c r="AB174" s="67" t="n">
        <f aca="false">IF(AB$5="A",Inputs_Actuals!AB266,AA175)</f>
        <v>104003.933211167</v>
      </c>
    </row>
    <row r="175" customFormat="false" ht="15" hidden="false" customHeight="false" outlineLevel="0" collapsed="false">
      <c r="A175" s="59" t="s">
        <v>1269</v>
      </c>
      <c r="B175" s="60"/>
      <c r="C175" s="61" t="n">
        <f aca="false">P175</f>
        <v>50571.9763365308</v>
      </c>
      <c r="D175" s="61" t="n">
        <f aca="false">AB175</f>
        <v>52328.0133045203</v>
      </c>
      <c r="E175" s="62" t="n">
        <f aca="false">Inputs_Actuals!$C$302+E173-E174</f>
        <v>45315.69</v>
      </c>
      <c r="F175" s="61" t="n">
        <f aca="false">E175+F173-F174</f>
        <v>45932.9</v>
      </c>
      <c r="G175" s="61" t="n">
        <f aca="false">F175+G173-G174</f>
        <v>46187.05</v>
      </c>
      <c r="H175" s="61" t="n">
        <f aca="false">G175+H173-H174</f>
        <v>46962.7</v>
      </c>
      <c r="I175" s="61" t="n">
        <f aca="false">H175+I173-I174</f>
        <v>45041.5</v>
      </c>
      <c r="J175" s="61" t="n">
        <f aca="false">I175+J173-J174</f>
        <v>90165.95</v>
      </c>
      <c r="K175" s="61" t="n">
        <f aca="false">J175+K173-K174</f>
        <v>45140.12</v>
      </c>
      <c r="L175" s="61" t="n">
        <f aca="false">K175+L173-L174</f>
        <v>46692.32</v>
      </c>
      <c r="M175" s="61" t="n">
        <f aca="false">L175+M173-M174</f>
        <v>44543.769725</v>
      </c>
      <c r="N175" s="61" t="n">
        <f aca="false">M175+N173-N174</f>
        <v>45835.6079790555</v>
      </c>
      <c r="O175" s="61" t="n">
        <f aca="false">N175+O173-O174</f>
        <v>92428.0785953084</v>
      </c>
      <c r="P175" s="61" t="n">
        <f aca="false">O175+P173-P174</f>
        <v>50571.9763365308</v>
      </c>
      <c r="Q175" s="61" t="n">
        <f aca="false">P175+Q173-Q174</f>
        <v>50905.0063087594</v>
      </c>
      <c r="R175" s="61" t="n">
        <f aca="false">Q175+R173-R174</f>
        <v>51780.8207528235</v>
      </c>
      <c r="S175" s="61" t="n">
        <f aca="false">R175+S173-S174</f>
        <v>52234.5689111407</v>
      </c>
      <c r="T175" s="61" t="n">
        <f aca="false">S175+T173-T174</f>
        <v>51760.4605833699</v>
      </c>
      <c r="U175" s="61" t="n">
        <f aca="false">T175+U173-U174</f>
        <v>52370.1383387277</v>
      </c>
      <c r="V175" s="61" t="n">
        <f aca="false">U175+V173-V174</f>
        <v>104366.075813104</v>
      </c>
      <c r="W175" s="61" t="n">
        <f aca="false">V175+W173-W174</f>
        <v>52348.411165578</v>
      </c>
      <c r="X175" s="61" t="n">
        <f aca="false">W175+X173-X174</f>
        <v>52286.1497204457</v>
      </c>
      <c r="Y175" s="61" t="n">
        <f aca="false">X175+Y173-Y174</f>
        <v>52197.4891054235</v>
      </c>
      <c r="Z175" s="61" t="n">
        <f aca="false">Y175+Z173-Z174</f>
        <v>52358.5480439026</v>
      </c>
      <c r="AA175" s="61" t="n">
        <f aca="false">Z175+AA173-AA174</f>
        <v>104003.933211167</v>
      </c>
      <c r="AB175" s="61" t="n">
        <f aca="false">AA175+AB173-AB174</f>
        <v>52328.0133045203</v>
      </c>
    </row>
    <row r="176" customFormat="false" ht="15" hidden="false" customHeight="false" outlineLevel="0" collapsed="false">
      <c r="A176" s="27" t="s">
        <v>1270</v>
      </c>
      <c r="B176" s="63"/>
      <c r="C176" s="66" t="n">
        <f aca="false">SUM(E176:P176)</f>
        <v>289179.567240402</v>
      </c>
      <c r="D176" s="66" t="n">
        <f aca="false">SUM(Q176:AB176)</f>
        <v>328712.259476414</v>
      </c>
      <c r="E176" s="76" t="n">
        <f aca="false">E96+E113+E131+E148</f>
        <v>20355.69</v>
      </c>
      <c r="F176" s="76" t="n">
        <f aca="false">F96+F113+F131+F148</f>
        <v>20648.52</v>
      </c>
      <c r="G176" s="76" t="n">
        <f aca="false">G96+G113+G131+G148</f>
        <v>20834.62</v>
      </c>
      <c r="H176" s="76" t="n">
        <f aca="false">H96+H113+H131+H148</f>
        <v>21215.21</v>
      </c>
      <c r="I176" s="76" t="n">
        <f aca="false">I96+I113+I131+I148</f>
        <v>20426.49</v>
      </c>
      <c r="J176" s="76" t="n">
        <f aca="false">J96+J113+J131+J148</f>
        <v>40607.39</v>
      </c>
      <c r="K176" s="76" t="n">
        <f aca="false">K96+K113+K131+K148</f>
        <v>20243.89</v>
      </c>
      <c r="L176" s="76" t="n">
        <f aca="false">L96+L113+L131+L148</f>
        <v>20916.9</v>
      </c>
      <c r="M176" s="76" t="n">
        <f aca="false">M96+M113+M131+M148</f>
        <v>19986.6785183667</v>
      </c>
      <c r="N176" s="76" t="n">
        <f aca="false">N96+N113+N131+N148</f>
        <v>20374.9352659695</v>
      </c>
      <c r="O176" s="76" t="n">
        <f aca="false">O96+O113+O131+O148</f>
        <v>41156.1624022237</v>
      </c>
      <c r="P176" s="76" t="n">
        <f aca="false">P96+P113+P131+P148</f>
        <v>22413.0810538424</v>
      </c>
      <c r="Q176" s="76" t="n">
        <f aca="false">Q96+Q113+Q131+Q148</f>
        <v>23121.6775173992</v>
      </c>
      <c r="R176" s="76" t="n">
        <f aca="false">R96+R113+R131+R148</f>
        <v>23502.2658393531</v>
      </c>
      <c r="S176" s="76" t="n">
        <f aca="false">S96+S113+S131+S148</f>
        <v>23618.1822186071</v>
      </c>
      <c r="T176" s="76" t="n">
        <f aca="false">T96+T113+T131+T148</f>
        <v>23341.1699896136</v>
      </c>
      <c r="U176" s="76" t="n">
        <f aca="false">U96+U113+U131+U148</f>
        <v>23607.2912648394</v>
      </c>
      <c r="V176" s="76" t="n">
        <f aca="false">V96+V113+V131+V148</f>
        <v>46974.3328794763</v>
      </c>
      <c r="W176" s="76" t="n">
        <f aca="false">W96+W113+W131+W148</f>
        <v>23559.303737466</v>
      </c>
      <c r="X176" s="76" t="n">
        <f aca="false">X96+X113+X131+X148</f>
        <v>23532.758197984</v>
      </c>
      <c r="Y176" s="76" t="n">
        <f aca="false">Y96+Y113+Y131+Y148</f>
        <v>23494.3061697666</v>
      </c>
      <c r="Z176" s="76" t="n">
        <f aca="false">Z96+Z113+Z131+Z148</f>
        <v>23564.1334155824</v>
      </c>
      <c r="AA176" s="76" t="n">
        <f aca="false">AA96+AA113+AA131+AA148</f>
        <v>46845.9439239882</v>
      </c>
      <c r="AB176" s="76" t="n">
        <f aca="false">AB96+AB113+AB131+AB148</f>
        <v>23550.8943223379</v>
      </c>
    </row>
    <row r="177" customFormat="false" ht="15" hidden="false" customHeight="false" outlineLevel="0" collapsed="false">
      <c r="A177" s="27" t="s">
        <v>1271</v>
      </c>
      <c r="B177" s="63" t="s">
        <v>1268</v>
      </c>
      <c r="C177" s="66" t="n">
        <f aca="false">SUM(E177:P177)</f>
        <v>286547.87618656</v>
      </c>
      <c r="D177" s="66" t="n">
        <f aca="false">SUM(Q177:AB177)</f>
        <v>327574.446207918</v>
      </c>
      <c r="E177" s="67" t="n">
        <f aca="false">IF(E$5="A",Inputs_Actuals!E267,Inputs_Actuals!$C$303)</f>
        <v>19781.39</v>
      </c>
      <c r="F177" s="67" t="n">
        <f aca="false">IF(F$5="A",Inputs_Actuals!F267,E178)</f>
        <v>20355.69</v>
      </c>
      <c r="G177" s="67" t="n">
        <f aca="false">IF(G$5="A",Inputs_Actuals!G267,F178)</f>
        <v>20648.52</v>
      </c>
      <c r="H177" s="67" t="n">
        <f aca="false">IF(H$5="A",Inputs_Actuals!H267,G178)</f>
        <v>20834.62</v>
      </c>
      <c r="I177" s="67" t="n">
        <f aca="false">IF(I$5="A",Inputs_Actuals!I267,H178)</f>
        <v>21215.21</v>
      </c>
      <c r="J177" s="67" t="n">
        <f aca="false">IF(J$5="A",Inputs_Actuals!J267,I178)</f>
        <v>20426.49</v>
      </c>
      <c r="K177" s="67" t="n">
        <f aca="false">IF(K$5="A",Inputs_Actuals!K267,J178)</f>
        <v>40607.39</v>
      </c>
      <c r="L177" s="67" t="n">
        <f aca="false">IF(L$5="A",Inputs_Actuals!L267,K178)</f>
        <v>20243.89</v>
      </c>
      <c r="M177" s="67" t="n">
        <f aca="false">IF(M$5="A",Inputs_Actuals!M267,L178)</f>
        <v>20916.9</v>
      </c>
      <c r="N177" s="67" t="n">
        <f aca="false">IF(N$5="A",Inputs_Actuals!N267,M178)</f>
        <v>19986.6785183667</v>
      </c>
      <c r="O177" s="67" t="n">
        <f aca="false">IF(O$5="A",Inputs_Actuals!O267,N178)</f>
        <v>20374.9352659695</v>
      </c>
      <c r="P177" s="67" t="n">
        <f aca="false">IF(P$5="A",Inputs_Actuals!P267,O178)</f>
        <v>41156.1624022237</v>
      </c>
      <c r="Q177" s="67" t="n">
        <f aca="false">IF(Q$5="A",Inputs_Actuals!Q267,P178)</f>
        <v>22413.0810538424</v>
      </c>
      <c r="R177" s="67" t="n">
        <f aca="false">IF(R$5="A",Inputs_Actuals!R267,Q178)</f>
        <v>23121.6775173992</v>
      </c>
      <c r="S177" s="67" t="n">
        <f aca="false">IF(S$5="A",Inputs_Actuals!S267,R178)</f>
        <v>23502.2658393531</v>
      </c>
      <c r="T177" s="67" t="n">
        <f aca="false">IF(T$5="A",Inputs_Actuals!T267,S178)</f>
        <v>23618.1822186071</v>
      </c>
      <c r="U177" s="67" t="n">
        <f aca="false">IF(U$5="A",Inputs_Actuals!U267,T178)</f>
        <v>23341.1699896136</v>
      </c>
      <c r="V177" s="67" t="n">
        <f aca="false">IF(V$5="A",Inputs_Actuals!V267,U178)</f>
        <v>23607.2912648394</v>
      </c>
      <c r="W177" s="67" t="n">
        <f aca="false">IF(W$5="A",Inputs_Actuals!W267,V178)</f>
        <v>46974.3328794763</v>
      </c>
      <c r="X177" s="67" t="n">
        <f aca="false">IF(X$5="A",Inputs_Actuals!X267,W178)</f>
        <v>23559.303737466</v>
      </c>
      <c r="Y177" s="67" t="n">
        <f aca="false">IF(Y$5="A",Inputs_Actuals!Y267,X178)</f>
        <v>23532.758197984</v>
      </c>
      <c r="Z177" s="67" t="n">
        <f aca="false">IF(Z$5="A",Inputs_Actuals!Z267,Y178)</f>
        <v>23494.3061697666</v>
      </c>
      <c r="AA177" s="67" t="n">
        <f aca="false">IF(AA$5="A",Inputs_Actuals!AA267,Z178)</f>
        <v>23564.1334155824</v>
      </c>
      <c r="AB177" s="67" t="n">
        <f aca="false">IF(AB$5="A",Inputs_Actuals!AB267,AA178)</f>
        <v>46845.9439239882</v>
      </c>
    </row>
    <row r="178" customFormat="false" ht="15" hidden="false" customHeight="false" outlineLevel="0" collapsed="false">
      <c r="A178" s="59" t="s">
        <v>1272</v>
      </c>
      <c r="B178" s="60"/>
      <c r="C178" s="61" t="n">
        <f aca="false">P178</f>
        <v>22413.0810538424</v>
      </c>
      <c r="D178" s="61" t="n">
        <f aca="false">AB178</f>
        <v>23550.8943223379</v>
      </c>
      <c r="E178" s="62" t="n">
        <f aca="false">Inputs_Actuals!$C$303+E176-E177</f>
        <v>20355.69</v>
      </c>
      <c r="F178" s="61" t="n">
        <f aca="false">E178+F176-F177</f>
        <v>20648.52</v>
      </c>
      <c r="G178" s="61" t="n">
        <f aca="false">F178+G176-G177</f>
        <v>20834.62</v>
      </c>
      <c r="H178" s="61" t="n">
        <f aca="false">G178+H176-H177</f>
        <v>21215.21</v>
      </c>
      <c r="I178" s="61" t="n">
        <f aca="false">H178+I176-I177</f>
        <v>20426.49</v>
      </c>
      <c r="J178" s="61" t="n">
        <f aca="false">I178+J176-J177</f>
        <v>40607.39</v>
      </c>
      <c r="K178" s="61" t="n">
        <f aca="false">J178+K176-K177</f>
        <v>20243.89</v>
      </c>
      <c r="L178" s="61" t="n">
        <f aca="false">K178+L176-L177</f>
        <v>20916.9</v>
      </c>
      <c r="M178" s="61" t="n">
        <f aca="false">L178+M176-M177</f>
        <v>19986.6785183667</v>
      </c>
      <c r="N178" s="61" t="n">
        <f aca="false">M178+N176-N177</f>
        <v>20374.9352659695</v>
      </c>
      <c r="O178" s="61" t="n">
        <f aca="false">N178+O176-O177</f>
        <v>41156.1624022237</v>
      </c>
      <c r="P178" s="61" t="n">
        <f aca="false">O178+P176-P177</f>
        <v>22413.0810538424</v>
      </c>
      <c r="Q178" s="61" t="n">
        <f aca="false">P178+Q176-Q177</f>
        <v>23121.6775173992</v>
      </c>
      <c r="R178" s="61" t="n">
        <f aca="false">Q178+R176-R177</f>
        <v>23502.2658393531</v>
      </c>
      <c r="S178" s="61" t="n">
        <f aca="false">R178+S176-S177</f>
        <v>23618.1822186071</v>
      </c>
      <c r="T178" s="61" t="n">
        <f aca="false">S178+T176-T177</f>
        <v>23341.1699896136</v>
      </c>
      <c r="U178" s="61" t="n">
        <f aca="false">T178+U176-U177</f>
        <v>23607.2912648394</v>
      </c>
      <c r="V178" s="61" t="n">
        <f aca="false">U178+V176-V177</f>
        <v>46974.3328794763</v>
      </c>
      <c r="W178" s="61" t="n">
        <f aca="false">V178+W176-W177</f>
        <v>23559.303737466</v>
      </c>
      <c r="X178" s="61" t="n">
        <f aca="false">W178+X176-X177</f>
        <v>23532.758197984</v>
      </c>
      <c r="Y178" s="61" t="n">
        <f aca="false">X178+Y176-Y177</f>
        <v>23494.3061697666</v>
      </c>
      <c r="Z178" s="61" t="n">
        <f aca="false">Y178+Z176-Z177</f>
        <v>23564.1334155824</v>
      </c>
      <c r="AA178" s="61" t="n">
        <f aca="false">Z178+AA176-AA177</f>
        <v>46845.9439239882</v>
      </c>
      <c r="AB178" s="61" t="n">
        <f aca="false">AA178+AB176-AB177</f>
        <v>23550.8943223379</v>
      </c>
    </row>
    <row r="179" customFormat="false" ht="15" hidden="false" customHeight="false" outlineLevel="0" collapsed="false">
      <c r="A179" s="27" t="s">
        <v>1273</v>
      </c>
      <c r="B179" s="63"/>
      <c r="C179" s="66" t="n">
        <f aca="false">SUM(E179:P179)</f>
        <v>1362295.88850333</v>
      </c>
      <c r="D179" s="66" t="n">
        <f aca="false">SUM(Q179:AB179)</f>
        <v>1538212.22276956</v>
      </c>
      <c r="E179" s="76" t="n">
        <f aca="false">E99+E116+E134+E151</f>
        <v>95704.62</v>
      </c>
      <c r="F179" s="76" t="n">
        <f aca="false">F99+F116+F134+F151</f>
        <v>96992.56</v>
      </c>
      <c r="G179" s="76" t="n">
        <f aca="false">G99+G116+G134+G151</f>
        <v>97457.41</v>
      </c>
      <c r="H179" s="76" t="n">
        <f aca="false">H99+H116+H134+H151</f>
        <v>99063.37</v>
      </c>
      <c r="I179" s="76" t="n">
        <f aca="false">I99+I116+I134+I151</f>
        <v>94931.58</v>
      </c>
      <c r="J179" s="76" t="n">
        <f aca="false">J99+J116+J134+J151</f>
        <v>190321.23</v>
      </c>
      <c r="K179" s="76" t="n">
        <f aca="false">K99+K116+K134+K151</f>
        <v>95366.79</v>
      </c>
      <c r="L179" s="76" t="n">
        <f aca="false">L99+L116+L134+L151</f>
        <v>98669.2</v>
      </c>
      <c r="M179" s="76" t="n">
        <f aca="false">M99+M116+M134+M151</f>
        <v>94096.6453816333</v>
      </c>
      <c r="N179" s="76" t="n">
        <f aca="false">N99+N116+N134+N151</f>
        <v>97016.981572475</v>
      </c>
      <c r="O179" s="76" t="n">
        <f aca="false">O99+O116+O134+O151</f>
        <v>195566.110834681</v>
      </c>
      <c r="P179" s="76" t="n">
        <f aca="false">P99+P116+P134+P151</f>
        <v>107109.390714539</v>
      </c>
      <c r="Q179" s="76" t="n">
        <f aca="false">Q99+Q116+Q134+Q151</f>
        <v>107253.73432374</v>
      </c>
      <c r="R179" s="76" t="n">
        <f aca="false">R99+R116+R134+R151</f>
        <v>109116.239110324</v>
      </c>
      <c r="S179" s="76" t="n">
        <f aca="false">S99+S116+S134+S151</f>
        <v>110162.440316401</v>
      </c>
      <c r="T179" s="76" t="n">
        <f aca="false">T99+T116+T134+T151</f>
        <v>109225.189490096</v>
      </c>
      <c r="U179" s="76" t="n">
        <f aca="false">U99+U116+U134+U151</f>
        <v>110520.545055931</v>
      </c>
      <c r="V179" s="76" t="n">
        <f aca="false">V99+V116+V134+V151</f>
        <v>220322.954814516</v>
      </c>
      <c r="W179" s="76" t="n">
        <f aca="false">W99+W116+W134+W151</f>
        <v>110512.886010345</v>
      </c>
      <c r="X179" s="76" t="n">
        <f aca="false">X99+X116+X134+X151</f>
        <v>110379.970582438</v>
      </c>
      <c r="Y179" s="76" t="n">
        <f aca="false">Y99+Y116+Y134+Y151</f>
        <v>110191.349380815</v>
      </c>
      <c r="Z179" s="76" t="n">
        <f aca="false">Z99+Z116+Z134+Z151</f>
        <v>110534.018409089</v>
      </c>
      <c r="AA179" s="76" t="n">
        <f aca="false">AA99+AA116+AA134+AA151</f>
        <v>219523.841854253</v>
      </c>
      <c r="AB179" s="76" t="n">
        <f aca="false">AB99+AB116+AB134+AB151</f>
        <v>110469.053421613</v>
      </c>
    </row>
    <row r="180" customFormat="false" ht="15" hidden="false" customHeight="false" outlineLevel="0" collapsed="false">
      <c r="A180" s="27" t="s">
        <v>1274</v>
      </c>
      <c r="B180" s="63"/>
      <c r="C180" s="66" t="n">
        <f aca="false">SUM(E180:P180)</f>
        <v>157996.456650394</v>
      </c>
      <c r="D180" s="66" t="n">
        <f aca="false">SUM(Q180:AB180)</f>
        <v>178352.748003068</v>
      </c>
      <c r="E180" s="76" t="n">
        <f aca="false">E97+E114+E132+E149</f>
        <v>13681.6</v>
      </c>
      <c r="F180" s="76" t="n">
        <f aca="false">F97+F114+F132+F149</f>
        <v>13731</v>
      </c>
      <c r="G180" s="76" t="n">
        <f aca="false">G97+G114+G132+G149</f>
        <v>13731</v>
      </c>
      <c r="H180" s="76" t="n">
        <f aca="false">H97+H114+H132+H149</f>
        <v>12933.6</v>
      </c>
      <c r="I180" s="76" t="n">
        <f aca="false">I97+I114+I132+I149</f>
        <v>13185.6</v>
      </c>
      <c r="J180" s="76" t="n">
        <f aca="false">J97+J114+J132+J149</f>
        <v>12743.4</v>
      </c>
      <c r="K180" s="76" t="n">
        <f aca="false">K97+K114+K132+K149</f>
        <v>12185.6</v>
      </c>
      <c r="L180" s="76" t="n">
        <f aca="false">L97+L114+L132+L149</f>
        <v>10988.8</v>
      </c>
      <c r="M180" s="76" t="n">
        <f aca="false">M97+M114+M132+M149</f>
        <v>12949.3216666667</v>
      </c>
      <c r="N180" s="76" t="n">
        <f aca="false">N97+N114+N132+N149</f>
        <v>13853.5567756944</v>
      </c>
      <c r="O180" s="76" t="n">
        <f aca="false">O97+O114+O132+O149</f>
        <v>14405.0827396169</v>
      </c>
      <c r="P180" s="76" t="n">
        <f aca="false">P97+P114+P132+P149</f>
        <v>13607.8954684159</v>
      </c>
      <c r="Q180" s="76" t="n">
        <f aca="false">Q97+Q114+Q132+Q149</f>
        <v>15195.1659549305</v>
      </c>
      <c r="R180" s="76" t="n">
        <f aca="false">R97+R114+R132+R149</f>
        <v>15020.3973715192</v>
      </c>
      <c r="S180" s="76" t="n">
        <f aca="false">S97+S114+S132+S149</f>
        <v>15210.7575174848</v>
      </c>
      <c r="T180" s="76" t="n">
        <f aca="false">T97+T114+T132+T149</f>
        <v>14726.2878608247</v>
      </c>
      <c r="U180" s="76" t="n">
        <f aca="false">U97+U114+U132+U149</f>
        <v>15232.8235653206</v>
      </c>
      <c r="V180" s="76" t="n">
        <f aca="false">V97+V114+V132+V149</f>
        <v>14910.0218688463</v>
      </c>
      <c r="W180" s="76" t="n">
        <f aca="false">W97+W114+W132+W149</f>
        <v>14045.6981899081</v>
      </c>
      <c r="X180" s="76" t="n">
        <f aca="false">X97+X114+X132+X149</f>
        <v>12664.3671490483</v>
      </c>
      <c r="Y180" s="76" t="n">
        <f aca="false">Y97+Y114+Y132+Y149</f>
        <v>15078.1711883448</v>
      </c>
      <c r="Z180" s="76" t="n">
        <f aca="false">Z97+Z114+Z132+Z149</f>
        <v>15595.4316122126</v>
      </c>
      <c r="AA180" s="76" t="n">
        <f aca="false">AA97+AA114+AA132+AA149</f>
        <v>15767.8424930022</v>
      </c>
      <c r="AB180" s="76" t="n">
        <f aca="false">AB97+AB114+AB132+AB149</f>
        <v>14905.7832316263</v>
      </c>
    </row>
    <row r="181" customFormat="false" ht="15" hidden="false" customHeight="false" outlineLevel="0" collapsed="false">
      <c r="A181" s="27" t="s">
        <v>725</v>
      </c>
      <c r="B181" s="63"/>
      <c r="C181" s="66" t="n">
        <f aca="false">SUM(E181:P181)</f>
        <v>42809.0150506118</v>
      </c>
      <c r="D181" s="66" t="n">
        <f aca="false">SUM(Q181:AB181)</f>
        <v>49248.9519063556</v>
      </c>
      <c r="E181" s="76" t="n">
        <f aca="false">E98+E115+E133+E150</f>
        <v>3533.66</v>
      </c>
      <c r="F181" s="76" t="n">
        <f aca="false">F98+F115+F133+F150</f>
        <v>3588.24</v>
      </c>
      <c r="G181" s="76" t="n">
        <f aca="false">G98+G115+G133+G150</f>
        <v>3595.58</v>
      </c>
      <c r="H181" s="76" t="n">
        <f aca="false">H98+H115+H133+H150</f>
        <v>3546.26</v>
      </c>
      <c r="I181" s="76" t="n">
        <f aca="false">I98+I115+I133+I150</f>
        <v>3496.94</v>
      </c>
      <c r="J181" s="76" t="n">
        <f aca="false">J98+J115+J133+J150</f>
        <v>3485.91</v>
      </c>
      <c r="K181" s="76" t="n">
        <f aca="false">K98+K115+K133+K150</f>
        <v>3530.51</v>
      </c>
      <c r="L181" s="76" t="n">
        <f aca="false">L98+L115+L133+L150</f>
        <v>3530.51</v>
      </c>
      <c r="M181" s="76" t="n">
        <f aca="false">M98+M115+M133+M150</f>
        <v>3494.81958333333</v>
      </c>
      <c r="N181" s="76" t="n">
        <f aca="false">N98+N115+N133+N150</f>
        <v>3602.77229805556</v>
      </c>
      <c r="O181" s="76" t="n">
        <f aca="false">O98+O115+O133+O150</f>
        <v>3703.13804309607</v>
      </c>
      <c r="P181" s="76" t="n">
        <f aca="false">P98+P115+P133+P150</f>
        <v>3700.67512612681</v>
      </c>
      <c r="Q181" s="76" t="n">
        <f aca="false">Q98+Q115+Q133+Q150</f>
        <v>4007.06240297744</v>
      </c>
      <c r="R181" s="76" t="n">
        <f aca="false">R98+R115+R133+R150</f>
        <v>4004.82075436244</v>
      </c>
      <c r="S181" s="76" t="n">
        <f aca="false">S98+S115+S133+S150</f>
        <v>4048.35256162578</v>
      </c>
      <c r="T181" s="76" t="n">
        <f aca="false">T98+T115+T133+T150</f>
        <v>4094.72836778115</v>
      </c>
      <c r="U181" s="76" t="n">
        <f aca="false">U98+U115+U133+U150</f>
        <v>4093.67847327038</v>
      </c>
      <c r="V181" s="76" t="n">
        <f aca="false">V98+V115+V133+V150</f>
        <v>4143.79443855879</v>
      </c>
      <c r="W181" s="76" t="n">
        <f aca="false">W98+W115+W133+W150</f>
        <v>4143.22200683591</v>
      </c>
      <c r="X181" s="76" t="n">
        <f aca="false">X98+X115+X133+X150</f>
        <v>4142.64399886413</v>
      </c>
      <c r="Y181" s="76" t="n">
        <f aca="false">Y98+Y115+Y133+Y150</f>
        <v>4142.65742063906</v>
      </c>
      <c r="Z181" s="76" t="n">
        <f aca="false">Z98+Z115+Z133+Z150</f>
        <v>4142.66400747712</v>
      </c>
      <c r="AA181" s="76" t="n">
        <f aca="false">AA98+AA115+AA133+AA150</f>
        <v>4142.66377404318</v>
      </c>
      <c r="AB181" s="76" t="n">
        <f aca="false">AB98+AB115+AB133+AB150</f>
        <v>4142.66369992017</v>
      </c>
    </row>
    <row r="182" customFormat="false" ht="15" hidden="false" customHeight="false" outlineLevel="0" collapsed="false">
      <c r="A182" s="21" t="s">
        <v>858</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row>
    <row r="183" customFormat="false" ht="15" hidden="false" customHeight="false" outlineLevel="0" collapsed="false">
      <c r="A183" s="27" t="s">
        <v>1275</v>
      </c>
      <c r="B183" s="63"/>
      <c r="C183" s="66" t="n">
        <f aca="false">SUM(E183:P183)</f>
        <v>2471446.47593305</v>
      </c>
      <c r="D183" s="66" t="n">
        <f aca="false">SUM(Q183:AB183)</f>
        <v>2800514.26486029</v>
      </c>
      <c r="E183" s="76" t="n">
        <f aca="false">E102+E119+E137+E154</f>
        <v>210825.8475</v>
      </c>
      <c r="F183" s="76" t="n">
        <f aca="false">F102+F119+F137+F154</f>
        <v>212522.49</v>
      </c>
      <c r="G183" s="76" t="n">
        <f aca="false">G102+G119+G137+G154</f>
        <v>213569.33</v>
      </c>
      <c r="H183" s="76" t="n">
        <f aca="false">H102+H119+H137+H154</f>
        <v>203812.61</v>
      </c>
      <c r="I183" s="76" t="n">
        <f aca="false">I102+I119+I137+I154</f>
        <v>206430.27125</v>
      </c>
      <c r="J183" s="76" t="n">
        <f aca="false">J102+J119+J137+J154</f>
        <v>199686.21</v>
      </c>
      <c r="K183" s="76" t="n">
        <f aca="false">K102+K119+K137+K154</f>
        <v>192913.735</v>
      </c>
      <c r="L183" s="76" t="n">
        <f aca="false">L102+L119+L137+L154</f>
        <v>178945.935</v>
      </c>
      <c r="M183" s="76" t="n">
        <f aca="false">M102+M119+M137+M154</f>
        <v>201370.3559375</v>
      </c>
      <c r="N183" s="76" t="n">
        <f aca="false">N102+N119+N137+N154</f>
        <v>211929.76179875</v>
      </c>
      <c r="O183" s="76" t="n">
        <f aca="false">O102+O119+O137+O154</f>
        <v>219479.660950018</v>
      </c>
      <c r="P183" s="76" t="n">
        <f aca="false">P102+P119+P137+P154</f>
        <v>219960.268496779</v>
      </c>
      <c r="Q183" s="76" t="n">
        <f aca="false">Q102+Q119+Q137+Q154</f>
        <v>237379.470626485</v>
      </c>
      <c r="R183" s="76" t="n">
        <f aca="false">R102+R119+R137+R154</f>
        <v>235283.217672883</v>
      </c>
      <c r="S183" s="76" t="n">
        <f aca="false">S102+S119+S137+S154</f>
        <v>237236.296050489</v>
      </c>
      <c r="T183" s="76" t="n">
        <f aca="false">T102+T119+T137+T154</f>
        <v>231436.236813778</v>
      </c>
      <c r="U183" s="76" t="n">
        <f aca="false">U102+U119+U137+U154</f>
        <v>237397.657075393</v>
      </c>
      <c r="V183" s="76" t="n">
        <f aca="false">V102+V119+V137+V154</f>
        <v>234045.285861521</v>
      </c>
      <c r="W183" s="76" t="n">
        <f aca="false">W102+W119+W137+W154</f>
        <v>223886.988439406</v>
      </c>
      <c r="X183" s="76" t="n">
        <f aca="false">X102+X119+X137+X154</f>
        <v>207655.233002206</v>
      </c>
      <c r="Y183" s="76" t="n">
        <f aca="false">Y102+Y119+Y137+Y154</f>
        <v>236010.239824509</v>
      </c>
      <c r="Z183" s="76" t="n">
        <f aca="false">Z102+Z119+Z137+Z154</f>
        <v>242086.538405978</v>
      </c>
      <c r="AA183" s="76" t="n">
        <f aca="false">AA102+AA119+AA137+AA154</f>
        <v>244111.8409811</v>
      </c>
      <c r="AB183" s="76" t="n">
        <f aca="false">AB102+AB119+AB137+AB154</f>
        <v>233985.260106545</v>
      </c>
    </row>
    <row r="184" customFormat="false" ht="15" hidden="false" customHeight="false" outlineLevel="0" collapsed="false">
      <c r="A184" s="27" t="s">
        <v>1276</v>
      </c>
      <c r="B184" s="63"/>
      <c r="C184" s="66" t="n">
        <f aca="false">SUM(E184:P184)</f>
        <v>1855590.3895997</v>
      </c>
      <c r="D184" s="66" t="n">
        <f aca="false">SUM(Q184:AB184)</f>
        <v>2097667.95757975</v>
      </c>
      <c r="E184" s="76" t="n">
        <f aca="false">E93+E110+E128+E145</f>
        <v>130404.84</v>
      </c>
      <c r="F184" s="76" t="n">
        <f aca="false">F93+F110+F128+F145</f>
        <v>132180.98</v>
      </c>
      <c r="G184" s="76" t="n">
        <f aca="false">G93+G110+G128+G145</f>
        <v>132912.39</v>
      </c>
      <c r="H184" s="76" t="n">
        <f aca="false">H93+H110+H128+H145</f>
        <v>135144.48</v>
      </c>
      <c r="I184" s="76" t="n">
        <f aca="false">I93+I110+I128+I145</f>
        <v>129615.81</v>
      </c>
      <c r="J184" s="76" t="n">
        <f aca="false">J93+J110+J128+J145</f>
        <v>259470.36</v>
      </c>
      <c r="K184" s="76" t="n">
        <f aca="false">K93+K110+K128+K145</f>
        <v>129899.64</v>
      </c>
      <c r="L184" s="76" t="n">
        <f aca="false">L93+L110+L128+L145</f>
        <v>134366.4</v>
      </c>
      <c r="M184" s="76" t="n">
        <f aca="false">M93+M110+M128+M145</f>
        <v>128183.51</v>
      </c>
      <c r="N184" s="76" t="n">
        <f aca="false">N93+N110+N128+N145</f>
        <v>131901.030155556</v>
      </c>
      <c r="O184" s="76" t="n">
        <f aca="false">O93+O110+O128+O145</f>
        <v>265980.082288657</v>
      </c>
      <c r="P184" s="76" t="n">
        <f aca="false">P93+P110+P128+P145</f>
        <v>145530.867155484</v>
      </c>
      <c r="Q184" s="76" t="n">
        <f aca="false">Q93+Q110+Q128+Q145</f>
        <v>146489.226787797</v>
      </c>
      <c r="R184" s="76" t="n">
        <f aca="false">R93+R110+R128+R145</f>
        <v>149009.556123233</v>
      </c>
      <c r="S184" s="76" t="n">
        <f aca="false">S93+S110+S128+S145</f>
        <v>150315.30621911</v>
      </c>
      <c r="T184" s="76" t="n">
        <f aca="false">T93+T110+T128+T145</f>
        <v>148950.965707539</v>
      </c>
      <c r="U184" s="76" t="n">
        <f aca="false">U93+U110+U128+U145</f>
        <v>150705.434068281</v>
      </c>
      <c r="V184" s="76" t="n">
        <f aca="false">V93+V110+V128+V145</f>
        <v>300334.031116845</v>
      </c>
      <c r="W184" s="76" t="n">
        <f aca="false">W93+W110+W128+W145</f>
        <v>150642.909829001</v>
      </c>
      <c r="X184" s="76" t="n">
        <f aca="false">X93+X110+X128+X145</f>
        <v>150463.740202722</v>
      </c>
      <c r="Y184" s="76" t="n">
        <f aca="false">Y93+Y110+Y128+Y145</f>
        <v>150208.601742226</v>
      </c>
      <c r="Z184" s="76" t="n">
        <f aca="false">Z93+Z110+Z128+Z145</f>
        <v>150672.080701878</v>
      </c>
      <c r="AA184" s="76" t="n">
        <f aca="false">AA93+AA110+AA128+AA145</f>
        <v>299291.894132855</v>
      </c>
      <c r="AB184" s="76" t="n">
        <f aca="false">AB93+AB110+AB128+AB145</f>
        <v>150584.21094826</v>
      </c>
    </row>
    <row r="185" customFormat="false" ht="15" hidden="false" customHeight="false" outlineLevel="0" collapsed="false">
      <c r="A185" s="27" t="s">
        <v>1277</v>
      </c>
      <c r="B185" s="63" t="s">
        <v>1278</v>
      </c>
      <c r="C185" s="66" t="n">
        <f aca="false">SUM(E185:P185)</f>
        <v>22845.1009722222</v>
      </c>
      <c r="D185" s="66" t="n">
        <f aca="false">SUM(Q185:AB185)</f>
        <v>36126.7559870157</v>
      </c>
      <c r="E185" s="67" t="n">
        <f aca="false">E47*Assumptions!$C$85</f>
        <v>0</v>
      </c>
      <c r="F185" s="67" t="n">
        <f aca="false">F47*Assumptions!$C$85</f>
        <v>2200</v>
      </c>
      <c r="G185" s="67" t="n">
        <f aca="false">G47*Assumptions!$C$85</f>
        <v>2200</v>
      </c>
      <c r="H185" s="67" t="n">
        <f aca="false">H47*Assumptions!$C$85</f>
        <v>0</v>
      </c>
      <c r="I185" s="67" t="n">
        <f aca="false">I47*Assumptions!$C$85</f>
        <v>0</v>
      </c>
      <c r="J185" s="67" t="n">
        <f aca="false">J47*Assumptions!$C$85</f>
        <v>2200</v>
      </c>
      <c r="K185" s="67" t="n">
        <f aca="false">K47*Assumptions!$C$85</f>
        <v>2200</v>
      </c>
      <c r="L185" s="67" t="n">
        <f aca="false">L47*Assumptions!$C$85</f>
        <v>0</v>
      </c>
      <c r="M185" s="67" t="n">
        <f aca="false">M47*Assumptions!$C$85</f>
        <v>0</v>
      </c>
      <c r="N185" s="67" t="n">
        <f aca="false">N47*Assumptions!$C$85</f>
        <v>6600</v>
      </c>
      <c r="O185" s="67" t="n">
        <f aca="false">O47*Assumptions!$C$85</f>
        <v>5930.83333333333</v>
      </c>
      <c r="P185" s="67" t="n">
        <f aca="false">P47*Assumptions!$C$85</f>
        <v>1514.26763888889</v>
      </c>
      <c r="Q185" s="67" t="n">
        <f aca="false">Q47*Assumptions!$C$85</f>
        <v>10374.8872957176</v>
      </c>
      <c r="R185" s="67" t="n">
        <f aca="false">R47*Assumptions!$C$85</f>
        <v>1625.69088243702</v>
      </c>
      <c r="S185" s="67" t="n">
        <f aca="false">S47*Assumptions!$C$85</f>
        <v>3824.3831690186</v>
      </c>
      <c r="T185" s="67" t="n">
        <f aca="false">T47*Assumptions!$C$85</f>
        <v>3920.97252272862</v>
      </c>
      <c r="U185" s="67" t="n">
        <f aca="false">U47*Assumptions!$C$85</f>
        <v>1719.89914326903</v>
      </c>
      <c r="V185" s="67" t="n">
        <f aca="false">V47*Assumptions!$C$85</f>
        <v>3944.48942763392</v>
      </c>
      <c r="W185" s="67" t="n">
        <f aca="false">W47*Assumptions!$C$85</f>
        <v>1769.88128524583</v>
      </c>
      <c r="X185" s="67" t="n">
        <f aca="false">X47*Assumptions!$C$85</f>
        <v>1769.29793945579</v>
      </c>
      <c r="Y185" s="67" t="n">
        <f aca="false">Y47*Assumptions!$C$85</f>
        <v>1794.67517551168</v>
      </c>
      <c r="Z185" s="67" t="n">
        <f aca="false">Z47*Assumptions!$C$85</f>
        <v>1794.3859141768</v>
      </c>
      <c r="AA185" s="67" t="n">
        <f aca="false">AA47*Assumptions!$C$85</f>
        <v>1794.09322117335</v>
      </c>
      <c r="AB185" s="67" t="n">
        <f aca="false">AB47*Assumptions!$C$85</f>
        <v>1794.10001064744</v>
      </c>
    </row>
    <row r="186" customFormat="false" ht="15" hidden="false" customHeight="false" outlineLevel="0" collapsed="false">
      <c r="A186" s="27" t="s">
        <v>1279</v>
      </c>
      <c r="B186" s="63"/>
      <c r="C186" s="66" t="n">
        <f aca="false">AVERAGE(E186:P186)</f>
        <v>2998.25102782968</v>
      </c>
      <c r="D186" s="66" t="n">
        <f aca="false">AVERAGE(Q186:AB186)</f>
        <v>3009.43423301218</v>
      </c>
      <c r="E186" s="76" t="n">
        <f aca="false">IF(E26=0,0,E183/E26)</f>
        <v>3100.38011029412</v>
      </c>
      <c r="F186" s="76" t="n">
        <f aca="false">IF(F26=0,0,F183/F26)</f>
        <v>3080.03608695652</v>
      </c>
      <c r="G186" s="76" t="n">
        <f aca="false">IF(G26=0,0,G183/G26)</f>
        <v>3095.20768115942</v>
      </c>
      <c r="H186" s="76" t="n">
        <f aca="false">IF(H26=0,0,H183/H26)</f>
        <v>2997.24426470588</v>
      </c>
      <c r="I186" s="76" t="n">
        <f aca="false">IF(I26=0,0,I183/I26)</f>
        <v>3081.04882462687</v>
      </c>
      <c r="J186" s="76" t="n">
        <f aca="false">IF(J26=0,0,J183/J26)</f>
        <v>2980.39119402985</v>
      </c>
      <c r="K186" s="76" t="n">
        <f aca="false">IF(K26=0,0,K183/K26)</f>
        <v>2836.96669117647</v>
      </c>
      <c r="L186" s="76" t="n">
        <f aca="false">IF(L26=0,0,L183/L26)</f>
        <v>2631.55786764706</v>
      </c>
      <c r="M186" s="76" t="n">
        <f aca="false">IF(M26=0,0,M183/M26)</f>
        <v>2991.94486627871</v>
      </c>
      <c r="N186" s="76" t="n">
        <f aca="false">IF(N26=0,0,N183/N26)</f>
        <v>3044.27399265032</v>
      </c>
      <c r="O186" s="76" t="n">
        <f aca="false">IF(O26=0,0,O183/O26)</f>
        <v>3065.5365596545</v>
      </c>
      <c r="P186" s="76" t="n">
        <f aca="false">IF(P26=0,0,P183/P26)</f>
        <v>3074.4241947765</v>
      </c>
      <c r="Q186" s="76" t="n">
        <f aca="false">IF(Q26=0,0,Q183/Q26)</f>
        <v>3143.15418677948</v>
      </c>
      <c r="R186" s="76" t="n">
        <f aca="false">IF(R26=0,0,R183/R26)</f>
        <v>3117.1851954918</v>
      </c>
      <c r="S186" s="76" t="n">
        <f aca="false">IF(S26=0,0,S183/S26)</f>
        <v>3103.72595577698</v>
      </c>
      <c r="T186" s="76" t="n">
        <f aca="false">IF(T26=0,0,T183/T26)</f>
        <v>2989.15603565525</v>
      </c>
      <c r="U186" s="76" t="n">
        <f aca="false">IF(U26=0,0,U183/U26)</f>
        <v>3067.05179851233</v>
      </c>
      <c r="V186" s="76" t="n">
        <f aca="false">IF(V26=0,0,V183/V26)</f>
        <v>2985.60349290124</v>
      </c>
      <c r="W186" s="76" t="n">
        <f aca="false">IF(W26=0,0,W183/W26)</f>
        <v>2856.42961893972</v>
      </c>
      <c r="X186" s="76" t="n">
        <f aca="false">IF(X26=0,0,X183/X26)</f>
        <v>2649.72463749823</v>
      </c>
      <c r="Y186" s="76" t="n">
        <f aca="false">IF(Y26=0,0,Y183/Y26)</f>
        <v>3011.53034907413</v>
      </c>
      <c r="Z186" s="76" t="n">
        <f aca="false">IF(Z26=0,0,Z183/Z26)</f>
        <v>3089.05981832938</v>
      </c>
      <c r="AA186" s="76" t="n">
        <f aca="false">IF(AA26=0,0,AA183/AA26)</f>
        <v>3114.90315984541</v>
      </c>
      <c r="AB186" s="76" t="n">
        <f aca="false">IF(AB26=0,0,AB183/AB26)</f>
        <v>2985.68654734217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4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1280</v>
      </c>
    </row>
    <row r="3" customFormat="false" ht="15" hidden="false" customHeight="false" outlineLevel="0" collapsed="false">
      <c r="A3" s="50" t="s">
        <v>1281</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1282</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1283</v>
      </c>
      <c r="B9" s="63" t="s">
        <v>46</v>
      </c>
      <c r="C9" s="66" t="n">
        <f aca="false">SUM(E9:P9)</f>
        <v>2390715.43399085</v>
      </c>
      <c r="D9" s="66" t="n">
        <f aca="false">SUM(Q9:AB9)</f>
        <v>2722373.36455407</v>
      </c>
      <c r="E9" s="67" t="n">
        <f aca="false">Contracts!E165</f>
        <v>187820.28</v>
      </c>
      <c r="F9" s="67" t="n">
        <f aca="false">Contracts!F165</f>
        <v>188649.32</v>
      </c>
      <c r="G9" s="67" t="n">
        <f aca="false">Contracts!G165</f>
        <v>194990.64</v>
      </c>
      <c r="H9" s="67" t="n">
        <f aca="false">Contracts!H165</f>
        <v>195977.85</v>
      </c>
      <c r="I9" s="67" t="n">
        <f aca="false">Contracts!I165</f>
        <v>192643.71</v>
      </c>
      <c r="J9" s="67" t="n">
        <f aca="false">Contracts!J165</f>
        <v>193175.21</v>
      </c>
      <c r="K9" s="67" t="n">
        <f aca="false">Contracts!K165</f>
        <v>200084.98</v>
      </c>
      <c r="L9" s="67" t="n">
        <f aca="false">Contracts!L165</f>
        <v>201384.22</v>
      </c>
      <c r="M9" s="67" t="n">
        <f aca="false">Contracts!M165</f>
        <v>201873.788290825</v>
      </c>
      <c r="N9" s="67" t="n">
        <f aca="false">Contracts!N165</f>
        <v>201505.478827394</v>
      </c>
      <c r="O9" s="67" t="n">
        <f aca="false">Contracts!O165</f>
        <v>216082.677506711</v>
      </c>
      <c r="P9" s="67" t="n">
        <f aca="false">Contracts!P165</f>
        <v>216527.279365915</v>
      </c>
      <c r="Q9" s="67" t="n">
        <f aca="false">Contracts!Q165</f>
        <v>220955.730411669</v>
      </c>
      <c r="R9" s="67" t="n">
        <f aca="false">Contracts!R165</f>
        <v>225280.444765471</v>
      </c>
      <c r="S9" s="67" t="n">
        <f aca="false">Contracts!S165</f>
        <v>224543.634948089</v>
      </c>
      <c r="T9" s="67" t="n">
        <f aca="false">Contracts!T165</f>
        <v>225510.388717299</v>
      </c>
      <c r="U9" s="67" t="n">
        <f aca="false">Contracts!U165</f>
        <v>226097.950754382</v>
      </c>
      <c r="V9" s="67" t="n">
        <f aca="false">Contracts!V165</f>
        <v>226671.584870749</v>
      </c>
      <c r="W9" s="67" t="n">
        <f aca="false">Contracts!W165</f>
        <v>227736.652735838</v>
      </c>
      <c r="X9" s="67" t="n">
        <f aca="false">Contracts!X165</f>
        <v>227681.382239584</v>
      </c>
      <c r="Y9" s="67" t="n">
        <f aca="false">Contracts!Y165</f>
        <v>228242.023803791</v>
      </c>
      <c r="Z9" s="67" t="n">
        <f aca="false">Contracts!Z165</f>
        <v>229116.129109145</v>
      </c>
      <c r="AA9" s="67" t="n">
        <f aca="false">Contracts!AA165</f>
        <v>230030.380863328</v>
      </c>
      <c r="AB9" s="67" t="n">
        <f aca="false">Contracts!AB165</f>
        <v>230507.061334723</v>
      </c>
    </row>
    <row r="10" customFormat="false" ht="15" hidden="false" customHeight="false" outlineLevel="0" collapsed="false">
      <c r="A10" s="27" t="s">
        <v>585</v>
      </c>
      <c r="B10" s="63" t="s">
        <v>1284</v>
      </c>
      <c r="C10" s="66" t="n">
        <f aca="false">SUM(E10:P10)</f>
        <v>710521.745422247</v>
      </c>
      <c r="D10" s="66" t="n">
        <f aca="false">SUM(Q10:AB10)</f>
        <v>815046.838337464</v>
      </c>
      <c r="E10" s="67" t="n">
        <f aca="false">Licences!E9*Contracts!E168</f>
        <v>56576.3421846072</v>
      </c>
      <c r="F10" s="67" t="n">
        <f aca="false">Licences!F9*Contracts!F168</f>
        <v>57042.49485767</v>
      </c>
      <c r="G10" s="67" t="n">
        <f aca="false">Licences!G9*Contracts!G168</f>
        <v>58369.5072952087</v>
      </c>
      <c r="H10" s="67" t="n">
        <f aca="false">Licences!H9*Contracts!H168</f>
        <v>58423.3464243514</v>
      </c>
      <c r="I10" s="67" t="n">
        <f aca="false">Licences!I9*Contracts!I168</f>
        <v>57173.778542595</v>
      </c>
      <c r="J10" s="67" t="n">
        <f aca="false">Licences!J9*Contracts!J168</f>
        <v>57371.8855230126</v>
      </c>
      <c r="K10" s="67" t="n">
        <f aca="false">Licences!K9*Contracts!K168</f>
        <v>59352.4945352971</v>
      </c>
      <c r="L10" s="67" t="n">
        <f aca="false">Licences!L9*Contracts!L168</f>
        <v>59386.4429157175</v>
      </c>
      <c r="M10" s="67" t="n">
        <f aca="false">Licences!M9*Contracts!M168</f>
        <v>59592.506775</v>
      </c>
      <c r="N10" s="67" t="n">
        <f aca="false">Licences!N9*Contracts!N168</f>
        <v>59291.304773315</v>
      </c>
      <c r="O10" s="67" t="n">
        <f aca="false">Licences!O9*Contracts!O168</f>
        <v>63894.4336542314</v>
      </c>
      <c r="P10" s="67" t="n">
        <f aca="false">Licences!P9*Contracts!P168</f>
        <v>64047.2079412412</v>
      </c>
      <c r="Q10" s="67" t="n">
        <f aca="false">Licences!Q9*Contracts!Q168</f>
        <v>67040.857225517</v>
      </c>
      <c r="R10" s="67" t="n">
        <f aca="false">Licences!R9*Contracts!R168</f>
        <v>68220.1407669202</v>
      </c>
      <c r="S10" s="67" t="n">
        <f aca="false">Licences!S9*Contracts!S168</f>
        <v>67610.1290378436</v>
      </c>
      <c r="T10" s="67" t="n">
        <f aca="false">Licences!T9*Contracts!T168</f>
        <v>67772.5463751947</v>
      </c>
      <c r="U10" s="67" t="n">
        <f aca="false">Licences!U9*Contracts!U168</f>
        <v>67849.1247867716</v>
      </c>
      <c r="V10" s="67" t="n">
        <f aca="false">Licences!V9*Contracts!V168</f>
        <v>68012.1882898742</v>
      </c>
      <c r="W10" s="67" t="n">
        <f aca="false">Licences!W9*Contracts!W168</f>
        <v>68175.7056134917</v>
      </c>
      <c r="X10" s="67" t="n">
        <f aca="false">Licences!X9*Contracts!X168</f>
        <v>67823.5846850751</v>
      </c>
      <c r="Y10" s="67" t="n">
        <f aca="false">Licences!Y9*Contracts!Y168</f>
        <v>67986.7575762602</v>
      </c>
      <c r="Z10" s="67" t="n">
        <f aca="false">Licences!Z9*Contracts!Z168</f>
        <v>68094.0915991591</v>
      </c>
      <c r="AA10" s="67" t="n">
        <f aca="false">Licences!AA9*Contracts!AA168</f>
        <v>68148.8060553592</v>
      </c>
      <c r="AB10" s="67" t="n">
        <f aca="false">Licences!AB9*Contracts!AB168</f>
        <v>68312.9063259973</v>
      </c>
    </row>
    <row r="11" customFormat="false" ht="15" hidden="false" customHeight="false" outlineLevel="0" collapsed="false">
      <c r="A11" s="27" t="s">
        <v>1285</v>
      </c>
      <c r="B11" s="63" t="s">
        <v>1286</v>
      </c>
      <c r="C11" s="66" t="n">
        <f aca="false">SUM(E11:P11)</f>
        <v>-47435.6718191317</v>
      </c>
      <c r="D11" s="66" t="n">
        <f aca="false">SUM(Q11:AB11)</f>
        <v>-4003.54570276362</v>
      </c>
      <c r="E11" s="67" t="n">
        <f aca="false">-Service_Desk!E29*IF(SUM(History!$N$54:$N$90)=0,0,SUMPRODUCT((Contract_Register!$C$7:$C$43="PT")*History!$N$54:$N$90)/SUM(History!$N$54:$N$90))</f>
        <v>-0</v>
      </c>
      <c r="F11" s="67" t="n">
        <f aca="false">-Service_Desk!F29*Contracts!E166</f>
        <v>-0</v>
      </c>
      <c r="G11" s="67" t="n">
        <f aca="false">-Service_Desk!G29*Contracts!F166</f>
        <v>-0</v>
      </c>
      <c r="H11" s="67" t="n">
        <f aca="false">-Service_Desk!H29*Contracts!G166</f>
        <v>-2744.97871588398</v>
      </c>
      <c r="I11" s="67" t="n">
        <f aca="false">-Service_Desk!I29*Contracts!H166</f>
        <v>-4105.55859302046</v>
      </c>
      <c r="J11" s="67" t="n">
        <f aca="false">-Service_Desk!J29*Contracts!I166</f>
        <v>-4601.57213780209</v>
      </c>
      <c r="K11" s="67" t="n">
        <f aca="false">-Service_Desk!K29*Contracts!J166</f>
        <v>-3232.10690582002</v>
      </c>
      <c r="L11" s="67" t="n">
        <f aca="false">-Service_Desk!L29*Contracts!K166</f>
        <v>-9616.88619830001</v>
      </c>
      <c r="M11" s="67" t="n">
        <f aca="false">-Service_Desk!M29*Contracts!L166</f>
        <v>-7648.00939602011</v>
      </c>
      <c r="N11" s="67" t="n">
        <f aca="false">-Service_Desk!N29*Contracts!M166</f>
        <v>-7070.1856421971</v>
      </c>
      <c r="O11" s="67" t="n">
        <f aca="false">-Service_Desk!O29*Contracts!N166</f>
        <v>-547.84234752787</v>
      </c>
      <c r="P11" s="67" t="n">
        <f aca="false">-Service_Desk!P29*Contracts!O166</f>
        <v>-7868.53188256001</v>
      </c>
      <c r="Q11" s="67" t="n">
        <f aca="false">-Service_Desk!Q29*Contracts!P166</f>
        <v>-392.472832638103</v>
      </c>
      <c r="R11" s="67" t="n">
        <f aca="false">-Service_Desk!R29*Contracts!Q166</f>
        <v>-920.588960224538</v>
      </c>
      <c r="S11" s="67" t="n">
        <f aca="false">-Service_Desk!S29*Contracts!R166</f>
        <v>-1484.25565531844</v>
      </c>
      <c r="T11" s="67" t="n">
        <f aca="false">-Service_Desk!T29*Contracts!S166</f>
        <v>-0</v>
      </c>
      <c r="U11" s="67" t="n">
        <f aca="false">-Service_Desk!U29*Contracts!T166</f>
        <v>-0</v>
      </c>
      <c r="V11" s="67" t="n">
        <f aca="false">-Service_Desk!V29*Contracts!U166</f>
        <v>-0</v>
      </c>
      <c r="W11" s="67" t="n">
        <f aca="false">-Service_Desk!W29*Contracts!V166</f>
        <v>-0</v>
      </c>
      <c r="X11" s="67" t="n">
        <f aca="false">-Service_Desk!X29*Contracts!W166</f>
        <v>-0</v>
      </c>
      <c r="Y11" s="67" t="n">
        <f aca="false">-Service_Desk!Y29*Contracts!X166</f>
        <v>-1206.22825458254</v>
      </c>
      <c r="Z11" s="67" t="n">
        <f aca="false">-Service_Desk!Z29*Contracts!Y166</f>
        <v>-0</v>
      </c>
      <c r="AA11" s="67" t="n">
        <f aca="false">-Service_Desk!AA29*Contracts!Z166</f>
        <v>-0</v>
      </c>
      <c r="AB11" s="67" t="n">
        <f aca="false">-Service_Desk!AB29*Contracts!AA166</f>
        <v>-0</v>
      </c>
    </row>
    <row r="12" customFormat="false" ht="15" hidden="false" customHeight="false" outlineLevel="0" collapsed="false">
      <c r="A12" s="27" t="s">
        <v>1287</v>
      </c>
      <c r="B12" s="63" t="s">
        <v>46</v>
      </c>
      <c r="C12" s="66" t="n">
        <f aca="false">SUM(E12:P12)</f>
        <v>23310</v>
      </c>
      <c r="D12" s="66" t="n">
        <f aca="false">SUM(Q12:AB12)</f>
        <v>5535</v>
      </c>
      <c r="E12" s="67" t="n">
        <f aca="false">Contracts!E179</f>
        <v>0</v>
      </c>
      <c r="F12" s="67" t="n">
        <f aca="false">Contracts!F179</f>
        <v>0</v>
      </c>
      <c r="G12" s="67" t="n">
        <f aca="false">Contracts!G179</f>
        <v>3600</v>
      </c>
      <c r="H12" s="67" t="n">
        <f aca="false">Contracts!H179</f>
        <v>0</v>
      </c>
      <c r="I12" s="67" t="n">
        <f aca="false">Contracts!I179</f>
        <v>2970</v>
      </c>
      <c r="J12" s="67" t="n">
        <f aca="false">Contracts!J179</f>
        <v>0</v>
      </c>
      <c r="K12" s="67" t="n">
        <f aca="false">Contracts!K179</f>
        <v>4860</v>
      </c>
      <c r="L12" s="67" t="n">
        <f aca="false">Contracts!L179</f>
        <v>0</v>
      </c>
      <c r="M12" s="67" t="n">
        <f aca="false">Contracts!M179</f>
        <v>0</v>
      </c>
      <c r="N12" s="67" t="n">
        <f aca="false">Contracts!N179</f>
        <v>0</v>
      </c>
      <c r="O12" s="67" t="n">
        <f aca="false">Contracts!O179</f>
        <v>11880</v>
      </c>
      <c r="P12" s="67" t="n">
        <f aca="false">Contracts!P179</f>
        <v>0</v>
      </c>
      <c r="Q12" s="67" t="n">
        <f aca="false">Contracts!Q179</f>
        <v>2700</v>
      </c>
      <c r="R12" s="67" t="n">
        <f aca="false">Contracts!R179</f>
        <v>2835</v>
      </c>
      <c r="S12" s="67" t="n">
        <f aca="false">Contracts!S179</f>
        <v>0</v>
      </c>
      <c r="T12" s="67" t="n">
        <f aca="false">Contracts!T179</f>
        <v>0</v>
      </c>
      <c r="U12" s="67" t="n">
        <f aca="false">Contracts!U179</f>
        <v>0</v>
      </c>
      <c r="V12" s="67" t="n">
        <f aca="false">Contracts!V179</f>
        <v>0</v>
      </c>
      <c r="W12" s="67" t="n">
        <f aca="false">Contracts!W179</f>
        <v>0</v>
      </c>
      <c r="X12" s="67" t="n">
        <f aca="false">Contracts!X179</f>
        <v>0</v>
      </c>
      <c r="Y12" s="67" t="n">
        <f aca="false">Contracts!Y179</f>
        <v>0</v>
      </c>
      <c r="Z12" s="67" t="n">
        <f aca="false">Contracts!Z179</f>
        <v>0</v>
      </c>
      <c r="AA12" s="67" t="n">
        <f aca="false">Contracts!AA179</f>
        <v>0</v>
      </c>
      <c r="AB12" s="67" t="n">
        <f aca="false">Contracts!AB179</f>
        <v>0</v>
      </c>
    </row>
    <row r="13" customFormat="false" ht="15" hidden="false" customHeight="false" outlineLevel="0" collapsed="false">
      <c r="A13" s="27" t="s">
        <v>586</v>
      </c>
      <c r="B13" s="63" t="s">
        <v>1288</v>
      </c>
      <c r="C13" s="66" t="n">
        <f aca="false">SUM(E13:P13)</f>
        <v>363052.8</v>
      </c>
      <c r="D13" s="66" t="n">
        <f aca="false">SUM(Q13:AB13)</f>
        <v>377574.912</v>
      </c>
      <c r="E13" s="67" t="n">
        <f aca="false">Licences!E12*Assumptions!$C$120</f>
        <v>214280</v>
      </c>
      <c r="F13" s="67" t="n">
        <f aca="false">Licences!F12*Assumptions!$C$120</f>
        <v>11528</v>
      </c>
      <c r="G13" s="67" t="n">
        <f aca="false">Licences!G12*Assumptions!$C$120</f>
        <v>16896</v>
      </c>
      <c r="H13" s="67" t="n">
        <f aca="false">Licences!H12*Assumptions!$C$120</f>
        <v>13112</v>
      </c>
      <c r="I13" s="67" t="n">
        <f aca="false">Licences!I12*Assumptions!$C$120</f>
        <v>8448</v>
      </c>
      <c r="J13" s="67" t="n">
        <f aca="false">Licences!J12*Assumptions!$C$120</f>
        <v>15224</v>
      </c>
      <c r="K13" s="67" t="n">
        <f aca="false">Licences!K12*Assumptions!$C$120</f>
        <v>10208</v>
      </c>
      <c r="L13" s="67" t="n">
        <f aca="false">Licences!L12*Assumptions!$C$120</f>
        <v>5632</v>
      </c>
      <c r="M13" s="67" t="n">
        <f aca="false">Licences!M12*Assumptions!$C$120</f>
        <v>20134.4</v>
      </c>
      <c r="N13" s="67" t="n">
        <f aca="false">Licences!N12*Assumptions!$C$120</f>
        <v>13728</v>
      </c>
      <c r="O13" s="67" t="n">
        <f aca="false">Licences!O12*Assumptions!$C$120</f>
        <v>10982.4</v>
      </c>
      <c r="P13" s="67" t="n">
        <f aca="false">Licences!P12*Assumptions!$C$120</f>
        <v>22880</v>
      </c>
      <c r="Q13" s="67" t="n">
        <f aca="false">Licences!Q12*Assumptions!$C$120</f>
        <v>222851.2</v>
      </c>
      <c r="R13" s="67" t="n">
        <f aca="false">Licences!R12*Assumptions!$C$120</f>
        <v>11989.12</v>
      </c>
      <c r="S13" s="67" t="n">
        <f aca="false">Licences!S12*Assumptions!$C$120</f>
        <v>17571.84</v>
      </c>
      <c r="T13" s="67" t="n">
        <f aca="false">Licences!T12*Assumptions!$C$120</f>
        <v>13636.48</v>
      </c>
      <c r="U13" s="67" t="n">
        <f aca="false">Licences!U12*Assumptions!$C$120</f>
        <v>8785.92</v>
      </c>
      <c r="V13" s="67" t="n">
        <f aca="false">Licences!V12*Assumptions!$C$120</f>
        <v>15832.96</v>
      </c>
      <c r="W13" s="67" t="n">
        <f aca="false">Licences!W12*Assumptions!$C$120</f>
        <v>10616.32</v>
      </c>
      <c r="X13" s="67" t="n">
        <f aca="false">Licences!X12*Assumptions!$C$120</f>
        <v>5857.28</v>
      </c>
      <c r="Y13" s="67" t="n">
        <f aca="false">Licences!Y12*Assumptions!$C$120</f>
        <v>20939.776</v>
      </c>
      <c r="Z13" s="67" t="n">
        <f aca="false">Licences!Z12*Assumptions!$C$120</f>
        <v>14277.12</v>
      </c>
      <c r="AA13" s="67" t="n">
        <f aca="false">Licences!AA12*Assumptions!$C$120</f>
        <v>11421.696</v>
      </c>
      <c r="AB13" s="67" t="n">
        <f aca="false">Licences!AB12*Assumptions!$C$120</f>
        <v>23795.2</v>
      </c>
    </row>
    <row r="14" customFormat="false" ht="15" hidden="false" customHeight="false" outlineLevel="0" collapsed="false">
      <c r="A14" s="27" t="s">
        <v>1289</v>
      </c>
      <c r="B14" s="63" t="s">
        <v>1290</v>
      </c>
      <c r="C14" s="66" t="n">
        <f aca="false">SUM(E14:P14)</f>
        <v>638302.5</v>
      </c>
      <c r="D14" s="66" t="n">
        <f aca="false">SUM(Q14:AB14)</f>
        <v>616680</v>
      </c>
      <c r="E14" s="67" t="n">
        <f aca="false">Licences!E22*Assumptions!$C$123</f>
        <v>44100</v>
      </c>
      <c r="F14" s="67" t="n">
        <f aca="false">Licences!F22*Assumptions!$C$123</f>
        <v>48600</v>
      </c>
      <c r="G14" s="67" t="n">
        <f aca="false">Licences!G22*Assumptions!$C$123</f>
        <v>59400</v>
      </c>
      <c r="H14" s="67" t="n">
        <f aca="false">Licences!H22*Assumptions!$C$123</f>
        <v>51300</v>
      </c>
      <c r="I14" s="67" t="n">
        <f aca="false">Licences!I22*Assumptions!$C$123</f>
        <v>52200</v>
      </c>
      <c r="J14" s="67" t="n">
        <f aca="false">Licences!J22*Assumptions!$C$123</f>
        <v>54900</v>
      </c>
      <c r="K14" s="67" t="n">
        <f aca="false">Licences!K22*Assumptions!$C$123</f>
        <v>49500</v>
      </c>
      <c r="L14" s="67" t="n">
        <f aca="false">Licences!L22*Assumptions!$C$123</f>
        <v>34200</v>
      </c>
      <c r="M14" s="67" t="n">
        <f aca="false">Licences!M22*Assumptions!$C$123</f>
        <v>54987.3</v>
      </c>
      <c r="N14" s="67" t="n">
        <f aca="false">Licences!N22*Assumptions!$C$123</f>
        <v>58584.6</v>
      </c>
      <c r="O14" s="67" t="n">
        <f aca="false">Licences!O22*Assumptions!$C$123</f>
        <v>62695.8</v>
      </c>
      <c r="P14" s="67" t="n">
        <f aca="false">Licences!P22*Assumptions!$C$123</f>
        <v>67834.8</v>
      </c>
      <c r="Q14" s="67" t="n">
        <f aca="false">Licences!Q22*Assumptions!$C$123</f>
        <v>42139.8</v>
      </c>
      <c r="R14" s="67" t="n">
        <f aca="false">Licences!R22*Assumptions!$C$123</f>
        <v>45223.2</v>
      </c>
      <c r="S14" s="67" t="n">
        <f aca="false">Licences!S22*Assumptions!$C$123</f>
        <v>55501.2</v>
      </c>
      <c r="T14" s="67" t="n">
        <f aca="false">Licences!T22*Assumptions!$C$123</f>
        <v>47792.7</v>
      </c>
      <c r="U14" s="67" t="n">
        <f aca="false">Licences!U22*Assumptions!$C$123</f>
        <v>49334.4</v>
      </c>
      <c r="V14" s="67" t="n">
        <f aca="false">Licences!V22*Assumptions!$C$123</f>
        <v>52417.8</v>
      </c>
      <c r="W14" s="67" t="n">
        <f aca="false">Licences!W22*Assumptions!$C$123</f>
        <v>47278.8</v>
      </c>
      <c r="X14" s="67" t="n">
        <f aca="false">Licences!X22*Assumptions!$C$123</f>
        <v>32889.6</v>
      </c>
      <c r="Y14" s="67" t="n">
        <f aca="false">Licences!Y22*Assumptions!$C$123</f>
        <v>54987.3</v>
      </c>
      <c r="Z14" s="67" t="n">
        <f aca="false">Licences!Z22*Assumptions!$C$123</f>
        <v>58584.6</v>
      </c>
      <c r="AA14" s="67" t="n">
        <f aca="false">Licences!AA22*Assumptions!$C$123</f>
        <v>62695.8</v>
      </c>
      <c r="AB14" s="67" t="n">
        <f aca="false">Licences!AB22*Assumptions!$C$123</f>
        <v>67834.8</v>
      </c>
    </row>
    <row r="15" customFormat="false" ht="15" hidden="false" customHeight="false" outlineLevel="0" collapsed="false">
      <c r="A15" s="27" t="s">
        <v>53</v>
      </c>
      <c r="B15" s="63" t="s">
        <v>1291</v>
      </c>
      <c r="C15" s="66" t="n">
        <f aca="false">SUM(E15:P15)</f>
        <v>2211510.4</v>
      </c>
      <c r="D15" s="66" t="n">
        <f aca="false">SUM(Q15:AB15)</f>
        <v>2187328</v>
      </c>
      <c r="E15" s="67" t="n">
        <f aca="false">Hardware!E8-Hardware!E18</f>
        <v>163680</v>
      </c>
      <c r="F15" s="67" t="n">
        <f aca="false">Hardware!F8-Hardware!F18</f>
        <v>173360</v>
      </c>
      <c r="G15" s="67" t="n">
        <f aca="false">Hardware!G8-Hardware!G18</f>
        <v>197120</v>
      </c>
      <c r="H15" s="67" t="n">
        <f aca="false">Hardware!H8-Hardware!H18</f>
        <v>176880</v>
      </c>
      <c r="I15" s="67" t="n">
        <f aca="false">Hardware!I8-Hardware!I18</f>
        <v>186560</v>
      </c>
      <c r="J15" s="67" t="n">
        <f aca="false">Hardware!J8-Hardware!J18</f>
        <v>209440</v>
      </c>
      <c r="K15" s="67" t="n">
        <f aca="false">Hardware!K8-Hardware!K18</f>
        <v>172480</v>
      </c>
      <c r="L15" s="67" t="n">
        <f aca="false">Hardware!L8-Hardware!L18</f>
        <v>106480</v>
      </c>
      <c r="M15" s="67" t="n">
        <f aca="false">Hardware!M8-Hardware!M18</f>
        <v>215987.2</v>
      </c>
      <c r="N15" s="67" t="n">
        <f aca="false">Hardware!N8-Hardware!N18</f>
        <v>234291.2</v>
      </c>
      <c r="O15" s="67" t="n">
        <f aca="false">Hardware!O8-Hardware!O18</f>
        <v>195852.8</v>
      </c>
      <c r="P15" s="67" t="n">
        <f aca="false">Hardware!P8-Hardware!P18</f>
        <v>179379.2</v>
      </c>
      <c r="Q15" s="67" t="n">
        <f aca="false">Hardware!Q8-Hardware!Q18</f>
        <v>161075.2</v>
      </c>
      <c r="R15" s="67" t="n">
        <f aca="false">Hardware!R8-Hardware!R18</f>
        <v>168396.8</v>
      </c>
      <c r="S15" s="67" t="n">
        <f aca="false">Hardware!S8-Hardware!S18</f>
        <v>192192</v>
      </c>
      <c r="T15" s="67" t="n">
        <f aca="false">Hardware!T8-Hardware!T18</f>
        <v>173888</v>
      </c>
      <c r="U15" s="67" t="n">
        <f aca="false">Hardware!U8-Hardware!U18</f>
        <v>183040</v>
      </c>
      <c r="V15" s="67" t="n">
        <f aca="false">Hardware!V8-Hardware!V18</f>
        <v>205004.8</v>
      </c>
      <c r="W15" s="67" t="n">
        <f aca="false">Hardware!W8-Hardware!W18</f>
        <v>168396.8</v>
      </c>
      <c r="X15" s="67" t="n">
        <f aca="false">Hardware!X8-Hardware!X18</f>
        <v>109824</v>
      </c>
      <c r="Y15" s="67" t="n">
        <f aca="false">Hardware!Y8-Hardware!Y18</f>
        <v>215987.2</v>
      </c>
      <c r="Z15" s="67" t="n">
        <f aca="false">Hardware!Z8-Hardware!Z18</f>
        <v>234291.2</v>
      </c>
      <c r="AA15" s="67" t="n">
        <f aca="false">Hardware!AA8-Hardware!AA18</f>
        <v>195852.8</v>
      </c>
      <c r="AB15" s="67" t="n">
        <f aca="false">Hardware!AB8-Hardware!AB18</f>
        <v>179379.2</v>
      </c>
    </row>
    <row r="16" customFormat="false" ht="15" hidden="false" customHeight="false" outlineLevel="0" collapsed="false">
      <c r="A16" s="27" t="s">
        <v>51</v>
      </c>
      <c r="B16" s="63" t="s">
        <v>51</v>
      </c>
      <c r="C16" s="66" t="n">
        <f aca="false">SUM(E16:P16)</f>
        <v>723497.347619048</v>
      </c>
      <c r="D16" s="66" t="n">
        <f aca="false">SUM(Q16:AB16)</f>
        <v>927910</v>
      </c>
      <c r="E16" s="67" t="n">
        <f aca="false">Projects!E172</f>
        <v>32112</v>
      </c>
      <c r="F16" s="67" t="n">
        <f aca="false">Projects!F172</f>
        <v>39248</v>
      </c>
      <c r="G16" s="67" t="n">
        <f aca="false">Projects!G172</f>
        <v>39080</v>
      </c>
      <c r="H16" s="67" t="n">
        <f aca="false">Projects!H172</f>
        <v>108536</v>
      </c>
      <c r="I16" s="67" t="n">
        <f aca="false">Projects!I172</f>
        <v>51304</v>
      </c>
      <c r="J16" s="67" t="n">
        <f aca="false">Projects!J172</f>
        <v>34952</v>
      </c>
      <c r="K16" s="67" t="n">
        <f aca="false">Projects!K172</f>
        <v>46880</v>
      </c>
      <c r="L16" s="67" t="n">
        <f aca="false">Projects!L172</f>
        <v>39072</v>
      </c>
      <c r="M16" s="67" t="n">
        <f aca="false">Projects!M172</f>
        <v>63114</v>
      </c>
      <c r="N16" s="67" t="n">
        <f aca="false">Projects!N172</f>
        <v>61823.6238095238</v>
      </c>
      <c r="O16" s="67" t="n">
        <f aca="false">Projects!O172</f>
        <v>139833.623809524</v>
      </c>
      <c r="P16" s="67" t="n">
        <f aca="false">Projects!P172</f>
        <v>67542.1</v>
      </c>
      <c r="Q16" s="67" t="n">
        <f aca="false">Projects!Q172</f>
        <v>84115</v>
      </c>
      <c r="R16" s="67" t="n">
        <f aca="false">Projects!R172</f>
        <v>75735</v>
      </c>
      <c r="S16" s="67" t="n">
        <f aca="false">Projects!S172</f>
        <v>81090</v>
      </c>
      <c r="T16" s="67" t="n">
        <f aca="false">Projects!T172</f>
        <v>78030</v>
      </c>
      <c r="U16" s="67" t="n">
        <f aca="false">Projects!U172</f>
        <v>74205</v>
      </c>
      <c r="V16" s="67" t="n">
        <f aca="false">Projects!V172</f>
        <v>84150</v>
      </c>
      <c r="W16" s="67" t="n">
        <f aca="false">Projects!W172</f>
        <v>71145</v>
      </c>
      <c r="X16" s="67" t="n">
        <f aca="false">Projects!X172</f>
        <v>45900</v>
      </c>
      <c r="Y16" s="67" t="n">
        <f aca="false">Projects!Y172</f>
        <v>80325</v>
      </c>
      <c r="Z16" s="67" t="n">
        <f aca="false">Projects!Z172</f>
        <v>88740</v>
      </c>
      <c r="AA16" s="67" t="n">
        <f aca="false">Projects!AA172</f>
        <v>84150</v>
      </c>
      <c r="AB16" s="67" t="n">
        <f aca="false">Projects!AB172</f>
        <v>80325</v>
      </c>
    </row>
    <row r="17" customFormat="false" ht="15" hidden="false" customHeight="false" outlineLevel="0" collapsed="false">
      <c r="A17" s="59" t="s">
        <v>1292</v>
      </c>
      <c r="B17" s="60"/>
      <c r="C17" s="61" t="n">
        <f aca="false">SUM(E17:P17)</f>
        <v>7013474.55521301</v>
      </c>
      <c r="D17" s="61" t="n">
        <f aca="false">SUM(Q17:AB17)</f>
        <v>7648444.56918877</v>
      </c>
      <c r="E17" s="61" t="n">
        <f aca="false">SUM(E9:E16)</f>
        <v>698568.622184607</v>
      </c>
      <c r="F17" s="61" t="n">
        <f aca="false">SUM(F9:F16)</f>
        <v>518427.81485767</v>
      </c>
      <c r="G17" s="61" t="n">
        <f aca="false">SUM(G9:G16)</f>
        <v>569456.147295209</v>
      </c>
      <c r="H17" s="61" t="n">
        <f aca="false">SUM(H9:H16)</f>
        <v>601484.217708467</v>
      </c>
      <c r="I17" s="61" t="n">
        <f aca="false">SUM(I9:I16)</f>
        <v>547193.929949575</v>
      </c>
      <c r="J17" s="61" t="n">
        <f aca="false">SUM(J9:J16)</f>
        <v>560461.52338521</v>
      </c>
      <c r="K17" s="61" t="n">
        <f aca="false">SUM(K9:K16)</f>
        <v>540133.367629477</v>
      </c>
      <c r="L17" s="61" t="n">
        <f aca="false">SUM(L9:L16)</f>
        <v>436537.776717418</v>
      </c>
      <c r="M17" s="61" t="n">
        <f aca="false">SUM(M9:M16)</f>
        <v>608041.185669805</v>
      </c>
      <c r="N17" s="61" t="n">
        <f aca="false">SUM(N9:N16)</f>
        <v>622154.021768035</v>
      </c>
      <c r="O17" s="61" t="n">
        <f aca="false">SUM(O9:O16)</f>
        <v>700673.892622938</v>
      </c>
      <c r="P17" s="61" t="n">
        <f aca="false">SUM(P9:P16)</f>
        <v>610342.055424597</v>
      </c>
      <c r="Q17" s="61" t="n">
        <f aca="false">SUM(Q9:Q16)</f>
        <v>800485.314804548</v>
      </c>
      <c r="R17" s="61" t="n">
        <f aca="false">SUM(R9:R16)</f>
        <v>596759.116572166</v>
      </c>
      <c r="S17" s="61" t="n">
        <f aca="false">SUM(S9:S16)</f>
        <v>637024.548330614</v>
      </c>
      <c r="T17" s="61" t="n">
        <f aca="false">SUM(T9:T16)</f>
        <v>606630.115092494</v>
      </c>
      <c r="U17" s="61" t="n">
        <f aca="false">SUM(U9:U16)</f>
        <v>609312.395541154</v>
      </c>
      <c r="V17" s="61" t="n">
        <f aca="false">SUM(V9:V16)</f>
        <v>652089.333160624</v>
      </c>
      <c r="W17" s="61" t="n">
        <f aca="false">SUM(W9:W16)</f>
        <v>593349.27834933</v>
      </c>
      <c r="X17" s="61" t="n">
        <f aca="false">SUM(X9:X16)</f>
        <v>489975.84692466</v>
      </c>
      <c r="Y17" s="61" t="n">
        <f aca="false">SUM(Y9:Y16)</f>
        <v>667261.829125469</v>
      </c>
      <c r="Z17" s="61" t="n">
        <f aca="false">SUM(Z9:Z16)</f>
        <v>693103.140708304</v>
      </c>
      <c r="AA17" s="61" t="n">
        <f aca="false">SUM(AA9:AA16)</f>
        <v>652299.482918688</v>
      </c>
      <c r="AB17" s="61" t="n">
        <f aca="false">SUM(AB9:AB16)</f>
        <v>650154.16766072</v>
      </c>
    </row>
    <row r="18" customFormat="false" ht="15" hidden="false" customHeight="false" outlineLevel="0" collapsed="false">
      <c r="A18" s="27" t="s">
        <v>1293</v>
      </c>
      <c r="B18" s="63"/>
      <c r="C18" s="66" t="n">
        <f aca="false">SUM(E18:P18)</f>
        <v>1613099.14769899</v>
      </c>
      <c r="D18" s="66" t="n">
        <f aca="false">SUM(Q18:AB18)</f>
        <v>1759142.25091342</v>
      </c>
      <c r="E18" s="67" t="n">
        <f aca="false">E17*Assumptions!$C$18</f>
        <v>160670.78310246</v>
      </c>
      <c r="F18" s="67" t="n">
        <f aca="false">F17*Assumptions!$C$18</f>
        <v>119238.397417264</v>
      </c>
      <c r="G18" s="67" t="n">
        <f aca="false">G17*Assumptions!$C$18</f>
        <v>130974.913877898</v>
      </c>
      <c r="H18" s="67" t="n">
        <f aca="false">H17*Assumptions!$C$18</f>
        <v>138341.370072948</v>
      </c>
      <c r="I18" s="67" t="n">
        <f aca="false">I17*Assumptions!$C$18</f>
        <v>125854.603888402</v>
      </c>
      <c r="J18" s="67" t="n">
        <f aca="false">J17*Assumptions!$C$18</f>
        <v>128906.150378598</v>
      </c>
      <c r="K18" s="67" t="n">
        <f aca="false">K17*Assumptions!$C$18</f>
        <v>124230.67455478</v>
      </c>
      <c r="L18" s="67" t="n">
        <f aca="false">L17*Assumptions!$C$18</f>
        <v>100403.688645006</v>
      </c>
      <c r="M18" s="67" t="n">
        <f aca="false">M17*Assumptions!$C$18</f>
        <v>139849.472704055</v>
      </c>
      <c r="N18" s="67" t="n">
        <f aca="false">N17*Assumptions!$C$18</f>
        <v>143095.425006648</v>
      </c>
      <c r="O18" s="67" t="n">
        <f aca="false">O17*Assumptions!$C$18</f>
        <v>161154.995303276</v>
      </c>
      <c r="P18" s="67" t="n">
        <f aca="false">P17*Assumptions!$C$18</f>
        <v>140378.672747657</v>
      </c>
      <c r="Q18" s="67" t="n">
        <f aca="false">Q17*Assumptions!$C$18</f>
        <v>184111.622405046</v>
      </c>
      <c r="R18" s="67" t="n">
        <f aca="false">R17*Assumptions!$C$18</f>
        <v>137254.596811598</v>
      </c>
      <c r="S18" s="67" t="n">
        <f aca="false">S17*Assumptions!$C$18</f>
        <v>146515.646116041</v>
      </c>
      <c r="T18" s="67" t="n">
        <f aca="false">T17*Assumptions!$C$18</f>
        <v>139524.926471274</v>
      </c>
      <c r="U18" s="67" t="n">
        <f aca="false">U17*Assumptions!$C$18</f>
        <v>140141.850974465</v>
      </c>
      <c r="V18" s="67" t="n">
        <f aca="false">V17*Assumptions!$C$18</f>
        <v>149980.546626943</v>
      </c>
      <c r="W18" s="67" t="n">
        <f aca="false">W17*Assumptions!$C$18</f>
        <v>136470.334020346</v>
      </c>
      <c r="X18" s="67" t="n">
        <f aca="false">X17*Assumptions!$C$18</f>
        <v>112694.444792672</v>
      </c>
      <c r="Y18" s="67" t="n">
        <f aca="false">Y17*Assumptions!$C$18</f>
        <v>153470.220698858</v>
      </c>
      <c r="Z18" s="67" t="n">
        <f aca="false">Z17*Assumptions!$C$18</f>
        <v>159413.72236291</v>
      </c>
      <c r="AA18" s="67" t="n">
        <f aca="false">AA17*Assumptions!$C$18</f>
        <v>150028.881071298</v>
      </c>
      <c r="AB18" s="67" t="n">
        <f aca="false">AB17*Assumptions!$C$18</f>
        <v>149535.458561966</v>
      </c>
    </row>
    <row r="19" customFormat="false" ht="15" hidden="false" customHeight="false" outlineLevel="0" collapsed="false">
      <c r="A19" s="59" t="s">
        <v>1294</v>
      </c>
      <c r="B19" s="60"/>
      <c r="C19" s="61" t="n">
        <f aca="false">SUM(E19:P19)</f>
        <v>8626573.702912</v>
      </c>
      <c r="D19" s="61" t="n">
        <f aca="false">SUM(Q19:AB19)</f>
        <v>9407586.82010219</v>
      </c>
      <c r="E19" s="61" t="n">
        <f aca="false">E17+E18</f>
        <v>859239.405287067</v>
      </c>
      <c r="F19" s="61" t="n">
        <f aca="false">F17+F18</f>
        <v>637666.212274934</v>
      </c>
      <c r="G19" s="61" t="n">
        <f aca="false">G17+G18</f>
        <v>700431.061173107</v>
      </c>
      <c r="H19" s="61" t="n">
        <f aca="false">H17+H18</f>
        <v>739825.587781415</v>
      </c>
      <c r="I19" s="61" t="n">
        <f aca="false">I17+I18</f>
        <v>673048.533837977</v>
      </c>
      <c r="J19" s="61" t="n">
        <f aca="false">J17+J18</f>
        <v>689367.673763809</v>
      </c>
      <c r="K19" s="61" t="n">
        <f aca="false">K17+K18</f>
        <v>664364.042184257</v>
      </c>
      <c r="L19" s="61" t="n">
        <f aca="false">L17+L18</f>
        <v>536941.465362424</v>
      </c>
      <c r="M19" s="61" t="n">
        <f aca="false">M17+M18</f>
        <v>747890.65837386</v>
      </c>
      <c r="N19" s="61" t="n">
        <f aca="false">N17+N18</f>
        <v>765249.446774683</v>
      </c>
      <c r="O19" s="61" t="n">
        <f aca="false">O17+O18</f>
        <v>861828.887926214</v>
      </c>
      <c r="P19" s="61" t="n">
        <f aca="false">P17+P18</f>
        <v>750720.728172254</v>
      </c>
      <c r="Q19" s="61" t="n">
        <f aca="false">Q17+Q18</f>
        <v>984596.937209594</v>
      </c>
      <c r="R19" s="61" t="n">
        <f aca="false">R17+R18</f>
        <v>734013.713383765</v>
      </c>
      <c r="S19" s="61" t="n">
        <f aca="false">S17+S18</f>
        <v>783540.194446656</v>
      </c>
      <c r="T19" s="61" t="n">
        <f aca="false">T17+T18</f>
        <v>746155.041563768</v>
      </c>
      <c r="U19" s="61" t="n">
        <f aca="false">U17+U18</f>
        <v>749454.246515619</v>
      </c>
      <c r="V19" s="61" t="n">
        <f aca="false">V17+V18</f>
        <v>802069.879787567</v>
      </c>
      <c r="W19" s="61" t="n">
        <f aca="false">W17+W18</f>
        <v>729819.612369676</v>
      </c>
      <c r="X19" s="61" t="n">
        <f aca="false">X17+X18</f>
        <v>602670.291717331</v>
      </c>
      <c r="Y19" s="61" t="n">
        <f aca="false">Y17+Y18</f>
        <v>820732.049824327</v>
      </c>
      <c r="Z19" s="61" t="n">
        <f aca="false">Z17+Z18</f>
        <v>852516.863071214</v>
      </c>
      <c r="AA19" s="61" t="n">
        <f aca="false">AA17+AA18</f>
        <v>802328.363989986</v>
      </c>
      <c r="AB19" s="61" t="n">
        <f aca="false">AB17+AB18</f>
        <v>799689.626222686</v>
      </c>
    </row>
    <row r="20" customFormat="false" ht="15" hidden="false" customHeight="false" outlineLevel="0" collapsed="false">
      <c r="A20" s="21" t="s">
        <v>1295</v>
      </c>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row>
    <row r="21" customFormat="false" ht="15" hidden="false" customHeight="false" outlineLevel="0" collapsed="false">
      <c r="A21" s="27" t="s">
        <v>1283</v>
      </c>
      <c r="B21" s="63"/>
      <c r="C21" s="66" t="n">
        <f aca="false">SUM(E21:P21)</f>
        <v>423154.406660584</v>
      </c>
      <c r="D21" s="66" t="n">
        <f aca="false">SUM(Q21:AB21)</f>
        <v>451157.093047816</v>
      </c>
      <c r="E21" s="67" t="n">
        <f aca="false">Contracts!E163-Contracts!E165</f>
        <v>34461</v>
      </c>
      <c r="F21" s="67" t="n">
        <f aca="false">Contracts!F163-Contracts!F165</f>
        <v>34619.49</v>
      </c>
      <c r="G21" s="67" t="n">
        <f aca="false">Contracts!G163-Contracts!G165</f>
        <v>34860.71</v>
      </c>
      <c r="H21" s="67" t="n">
        <f aca="false">Contracts!H163-Contracts!H165</f>
        <v>35140.01</v>
      </c>
      <c r="I21" s="67" t="n">
        <f aca="false">Contracts!I163-Contracts!I165</f>
        <v>35144.12</v>
      </c>
      <c r="J21" s="67" t="n">
        <f aca="false">Contracts!J163-Contracts!J165</f>
        <v>35144.12</v>
      </c>
      <c r="K21" s="67" t="n">
        <f aca="false">Contracts!K163-Contracts!K165</f>
        <v>35309.66</v>
      </c>
      <c r="L21" s="67" t="n">
        <f aca="false">Contracts!L163-Contracts!L165</f>
        <v>35610.59</v>
      </c>
      <c r="M21" s="67" t="n">
        <f aca="false">Contracts!M163-Contracts!M165</f>
        <v>35664.9146206162</v>
      </c>
      <c r="N21" s="67" t="n">
        <f aca="false">Contracts!N163-Contracts!N165</f>
        <v>35871.0906980161</v>
      </c>
      <c r="O21" s="67" t="n">
        <f aca="false">Contracts!O163-Contracts!O165</f>
        <v>35925.7436001426</v>
      </c>
      <c r="P21" s="67" t="n">
        <f aca="false">Contracts!P163-Contracts!P165</f>
        <v>35402.9577418094</v>
      </c>
      <c r="Q21" s="67" t="n">
        <f aca="false">Contracts!Q163-Contracts!Q165</f>
        <v>35457.3385988497</v>
      </c>
      <c r="R21" s="67" t="n">
        <f aca="false">Contracts!R163-Contracts!R165</f>
        <v>35655.1218142737</v>
      </c>
      <c r="S21" s="67" t="n">
        <f aca="false">Contracts!S163-Contracts!S165</f>
        <v>35710.0831357063</v>
      </c>
      <c r="T21" s="67" t="n">
        <f aca="false">Contracts!T163-Contracts!T165</f>
        <v>37952.2924796618</v>
      </c>
      <c r="U21" s="67" t="n">
        <f aca="false">Contracts!U163-Contracts!U165</f>
        <v>38011.0982741684</v>
      </c>
      <c r="V21" s="67" t="n">
        <f aca="false">Contracts!V163-Contracts!V165</f>
        <v>38070.0145480098</v>
      </c>
      <c r="W21" s="67" t="n">
        <f aca="false">Contracts!W163-Contracts!W165</f>
        <v>37963.6189132163</v>
      </c>
      <c r="X21" s="67" t="n">
        <f aca="false">Contracts!X163-Contracts!X165</f>
        <v>38220.0047347605</v>
      </c>
      <c r="Y21" s="67" t="n">
        <f aca="false">Contracts!Y163-Contracts!Y165</f>
        <v>38279.3018256338</v>
      </c>
      <c r="Z21" s="67" t="n">
        <f aca="false">Contracts!Z163-Contracts!Z165</f>
        <v>38496.5677134682</v>
      </c>
      <c r="AA21" s="67" t="n">
        <f aca="false">Contracts!AA163-Contracts!AA165</f>
        <v>38556.2183848855</v>
      </c>
      <c r="AB21" s="67" t="n">
        <f aca="false">Contracts!AB163-Contracts!AB165</f>
        <v>38785.4326251819</v>
      </c>
    </row>
    <row r="22" customFormat="false" ht="15" hidden="false" customHeight="false" outlineLevel="0" collapsed="false">
      <c r="A22" s="27" t="s">
        <v>585</v>
      </c>
      <c r="B22" s="63"/>
      <c r="C22" s="66" t="n">
        <f aca="false">SUM(E22:P22)</f>
        <v>112134.87314186</v>
      </c>
      <c r="D22" s="66" t="n">
        <f aca="false">SUM(Q22:AB22)</f>
        <v>120259.489661752</v>
      </c>
      <c r="E22" s="67" t="n">
        <f aca="false">Licences!E9-E10</f>
        <v>9223.45781539276</v>
      </c>
      <c r="F22" s="67" t="n">
        <f aca="false">Licences!F9-F10</f>
        <v>9282.73514232999</v>
      </c>
      <c r="G22" s="67" t="n">
        <f aca="false">Licences!G9-G10</f>
        <v>9330.05270479135</v>
      </c>
      <c r="H22" s="67" t="n">
        <f aca="false">Licences!H9-H10</f>
        <v>9328.2435756486</v>
      </c>
      <c r="I22" s="67" t="n">
        <f aca="false">Licences!I9-I10</f>
        <v>9345.88145740498</v>
      </c>
      <c r="J22" s="67" t="n">
        <f aca="false">Licences!J9-J10</f>
        <v>9352.59447698744</v>
      </c>
      <c r="K22" s="67" t="n">
        <f aca="false">Licences!K9-K10</f>
        <v>9351.24546470289</v>
      </c>
      <c r="L22" s="67" t="n">
        <f aca="false">Licences!L9-L10</f>
        <v>9381.38708428246</v>
      </c>
      <c r="M22" s="67" t="n">
        <f aca="false">Licences!M9-M10</f>
        <v>9409.0818</v>
      </c>
      <c r="N22" s="67" t="n">
        <f aca="false">Licences!N9-N10</f>
        <v>9426.1233803</v>
      </c>
      <c r="O22" s="67" t="n">
        <f aca="false">Licences!O9-O10</f>
        <v>9443.19981885944</v>
      </c>
      <c r="P22" s="67" t="n">
        <f aca="false">Licences!P9-P10</f>
        <v>9260.87042116024</v>
      </c>
      <c r="Q22" s="67" t="n">
        <f aca="false">Licences!Q9-Q10</f>
        <v>9556.15189119641</v>
      </c>
      <c r="R22" s="67" t="n">
        <f aca="false">Licences!R9-R10</f>
        <v>9573.64318923465</v>
      </c>
      <c r="S22" s="67" t="n">
        <f aca="false">Licences!S9-S10</f>
        <v>9591.17050877684</v>
      </c>
      <c r="T22" s="67" t="n">
        <f aca="false">Licences!T9-T10</f>
        <v>10144.0922394753</v>
      </c>
      <c r="U22" s="67" t="n">
        <f aca="false">Licences!U9-U10</f>
        <v>10162.7625620226</v>
      </c>
      <c r="V22" s="67" t="n">
        <f aca="false">Licences!V9-V10</f>
        <v>10181.4712912778</v>
      </c>
      <c r="W22" s="67" t="n">
        <f aca="false">Licences!W9-W10</f>
        <v>10128.2999478312</v>
      </c>
      <c r="X22" s="67" t="n">
        <f aca="false">Licences!X9-X10</f>
        <v>10146.9419113704</v>
      </c>
      <c r="Y22" s="67" t="n">
        <f aca="false">Licences!Y9-Y10</f>
        <v>10165.6222523529</v>
      </c>
      <c r="Z22" s="67" t="n">
        <f aca="false">Licences!Z9-Z10</f>
        <v>10184.3410567516</v>
      </c>
      <c r="AA22" s="67" t="n">
        <f aca="false">Licences!AA9-AA10</f>
        <v>10203.0984107448</v>
      </c>
      <c r="AB22" s="67" t="n">
        <f aca="false">Licences!AB9-AB10</f>
        <v>10221.8944007171</v>
      </c>
    </row>
    <row r="23" customFormat="false" ht="15" hidden="false" customHeight="false" outlineLevel="0" collapsed="false">
      <c r="A23" s="27" t="s">
        <v>1285</v>
      </c>
      <c r="B23" s="63"/>
      <c r="C23" s="66" t="n">
        <f aca="false">SUM(E23:P23)</f>
        <v>-8358.72388965819</v>
      </c>
      <c r="D23" s="66" t="n">
        <f aca="false">SUM(Q23:AB23)</f>
        <v>-649.297941943532</v>
      </c>
      <c r="E23" s="67" t="n">
        <f aca="false">-Service_Desk!E29-E11</f>
        <v>0</v>
      </c>
      <c r="F23" s="67" t="n">
        <f aca="false">-Service_Desk!F29-F11</f>
        <v>0</v>
      </c>
      <c r="G23" s="67" t="n">
        <f aca="false">-Service_Desk!G29-G11</f>
        <v>0</v>
      </c>
      <c r="H23" s="67" t="n">
        <f aca="false">-Service_Desk!H29-H11</f>
        <v>-490.751284116016</v>
      </c>
      <c r="I23" s="67" t="n">
        <f aca="false">-Service_Desk!I29-I11</f>
        <v>-736.151406979539</v>
      </c>
      <c r="J23" s="67" t="n">
        <f aca="false">-Service_Desk!J29-J11</f>
        <v>-839.467862197906</v>
      </c>
      <c r="K23" s="67" t="n">
        <f aca="false">-Service_Desk!K29-K11</f>
        <v>-588.01309417998</v>
      </c>
      <c r="L23" s="67" t="n">
        <f aca="false">-Service_Desk!L29-L11</f>
        <v>-1697.12380169999</v>
      </c>
      <c r="M23" s="67" t="n">
        <f aca="false">-Service_Desk!M29-M11</f>
        <v>-1352.39060397989</v>
      </c>
      <c r="N23" s="67" t="n">
        <f aca="false">-Service_Desk!N29-N11</f>
        <v>-1249.08523001313</v>
      </c>
      <c r="O23" s="67" t="n">
        <f aca="false">-Service_Desk!O29-O11</f>
        <v>-97.5244080247546</v>
      </c>
      <c r="P23" s="67" t="n">
        <f aca="false">-Service_Desk!P29-P11</f>
        <v>-1308.21619846699</v>
      </c>
      <c r="Q23" s="67" t="n">
        <f aca="false">-Service_Desk!Q29-Q11</f>
        <v>-64.1706631579385</v>
      </c>
      <c r="R23" s="67" t="n">
        <f aca="false">-Service_Desk!R29-R11</f>
        <v>-147.729295874015</v>
      </c>
      <c r="S23" s="67" t="n">
        <f aca="false">-Service_Desk!S29-S11</f>
        <v>-234.913049150793</v>
      </c>
      <c r="T23" s="67" t="n">
        <f aca="false">-Service_Desk!T29-T11</f>
        <v>0</v>
      </c>
      <c r="U23" s="67" t="n">
        <f aca="false">-Service_Desk!U29-U11</f>
        <v>0</v>
      </c>
      <c r="V23" s="67" t="n">
        <f aca="false">-Service_Desk!V29-V11</f>
        <v>0</v>
      </c>
      <c r="W23" s="67" t="n">
        <f aca="false">-Service_Desk!W29-W11</f>
        <v>0</v>
      </c>
      <c r="X23" s="67" t="n">
        <f aca="false">-Service_Desk!X29-X11</f>
        <v>0</v>
      </c>
      <c r="Y23" s="67" t="n">
        <f aca="false">-Service_Desk!Y29-Y11</f>
        <v>-202.484933760786</v>
      </c>
      <c r="Z23" s="67" t="n">
        <f aca="false">-Service_Desk!Z29-Z11</f>
        <v>0</v>
      </c>
      <c r="AA23" s="67" t="n">
        <f aca="false">-Service_Desk!AA29-AA11</f>
        <v>0</v>
      </c>
      <c r="AB23" s="67" t="n">
        <f aca="false">-Service_Desk!AB29-AB11</f>
        <v>0</v>
      </c>
    </row>
    <row r="24" customFormat="false" ht="15" hidden="false" customHeight="false" outlineLevel="0" collapsed="false">
      <c r="A24" s="27" t="s">
        <v>1287</v>
      </c>
      <c r="B24" s="63"/>
      <c r="C24" s="66" t="n">
        <f aca="false">SUM(E24:P24)</f>
        <v>0</v>
      </c>
      <c r="D24" s="66" t="n">
        <f aca="false">SUM(Q24:AB24)</f>
        <v>1800</v>
      </c>
      <c r="E24" s="67" t="n">
        <f aca="false">Contracts!E178-Contracts!E179</f>
        <v>0</v>
      </c>
      <c r="F24" s="67" t="n">
        <f aca="false">Contracts!F178-Contracts!F179</f>
        <v>0</v>
      </c>
      <c r="G24" s="67" t="n">
        <f aca="false">Contracts!G178-Contracts!G179</f>
        <v>0</v>
      </c>
      <c r="H24" s="67" t="n">
        <f aca="false">Contracts!H178-Contracts!H179</f>
        <v>0</v>
      </c>
      <c r="I24" s="67" t="n">
        <f aca="false">Contracts!I178-Contracts!I179</f>
        <v>0</v>
      </c>
      <c r="J24" s="67" t="n">
        <f aca="false">Contracts!J178-Contracts!J179</f>
        <v>0</v>
      </c>
      <c r="K24" s="67" t="n">
        <f aca="false">Contracts!K178-Contracts!K179</f>
        <v>0</v>
      </c>
      <c r="L24" s="67" t="n">
        <f aca="false">Contracts!L178-Contracts!L179</f>
        <v>0</v>
      </c>
      <c r="M24" s="67" t="n">
        <f aca="false">Contracts!M178-Contracts!M179</f>
        <v>0</v>
      </c>
      <c r="N24" s="67" t="n">
        <f aca="false">Contracts!N178-Contracts!N179</f>
        <v>0</v>
      </c>
      <c r="O24" s="67" t="n">
        <f aca="false">Contracts!O178-Contracts!O179</f>
        <v>0</v>
      </c>
      <c r="P24" s="67" t="n">
        <f aca="false">Contracts!P178-Contracts!P179</f>
        <v>0</v>
      </c>
      <c r="Q24" s="67" t="n">
        <f aca="false">Contracts!Q178-Contracts!Q179</f>
        <v>0</v>
      </c>
      <c r="R24" s="67" t="n">
        <f aca="false">Contracts!R178-Contracts!R179</f>
        <v>0</v>
      </c>
      <c r="S24" s="67" t="n">
        <f aca="false">Contracts!S178-Contracts!S179</f>
        <v>0</v>
      </c>
      <c r="T24" s="67" t="n">
        <f aca="false">Contracts!T178-Contracts!T179</f>
        <v>1800</v>
      </c>
      <c r="U24" s="67" t="n">
        <f aca="false">Contracts!U178-Contracts!U179</f>
        <v>0</v>
      </c>
      <c r="V24" s="67" t="n">
        <f aca="false">Contracts!V178-Contracts!V179</f>
        <v>0</v>
      </c>
      <c r="W24" s="67" t="n">
        <f aca="false">Contracts!W178-Contracts!W179</f>
        <v>0</v>
      </c>
      <c r="X24" s="67" t="n">
        <f aca="false">Contracts!X178-Contracts!X179</f>
        <v>0</v>
      </c>
      <c r="Y24" s="67" t="n">
        <f aca="false">Contracts!Y178-Contracts!Y179</f>
        <v>0</v>
      </c>
      <c r="Z24" s="67" t="n">
        <f aca="false">Contracts!Z178-Contracts!Z179</f>
        <v>0</v>
      </c>
      <c r="AA24" s="67" t="n">
        <f aca="false">Contracts!AA178-Contracts!AA179</f>
        <v>0</v>
      </c>
      <c r="AB24" s="67" t="n">
        <f aca="false">Contracts!AB178-Contracts!AB179</f>
        <v>0</v>
      </c>
    </row>
    <row r="25" customFormat="false" ht="15" hidden="false" customHeight="false" outlineLevel="0" collapsed="false">
      <c r="A25" s="27" t="s">
        <v>586</v>
      </c>
      <c r="B25" s="63"/>
      <c r="C25" s="66" t="n">
        <f aca="false">SUM(E25:P25)</f>
        <v>49507.2</v>
      </c>
      <c r="D25" s="66" t="n">
        <f aca="false">SUM(Q25:AB25)</f>
        <v>51487.488</v>
      </c>
      <c r="E25" s="67" t="n">
        <f aca="false">Licences!E12-E13</f>
        <v>29220</v>
      </c>
      <c r="F25" s="67" t="n">
        <f aca="false">Licences!F12-F13</f>
        <v>1572</v>
      </c>
      <c r="G25" s="67" t="n">
        <f aca="false">Licences!G12-G13</f>
        <v>2304</v>
      </c>
      <c r="H25" s="67" t="n">
        <f aca="false">Licences!H12-H13</f>
        <v>1788</v>
      </c>
      <c r="I25" s="67" t="n">
        <f aca="false">Licences!I12-I13</f>
        <v>1152</v>
      </c>
      <c r="J25" s="67" t="n">
        <f aca="false">Licences!J12-J13</f>
        <v>2076</v>
      </c>
      <c r="K25" s="67" t="n">
        <f aca="false">Licences!K12-K13</f>
        <v>1392</v>
      </c>
      <c r="L25" s="67" t="n">
        <f aca="false">Licences!L12-L13</f>
        <v>768</v>
      </c>
      <c r="M25" s="67" t="n">
        <f aca="false">Licences!M12-M13</f>
        <v>2745.6</v>
      </c>
      <c r="N25" s="67" t="n">
        <f aca="false">Licences!N12-N13</f>
        <v>1872</v>
      </c>
      <c r="O25" s="67" t="n">
        <f aca="false">Licences!O12-O13</f>
        <v>1497.6</v>
      </c>
      <c r="P25" s="67" t="n">
        <f aca="false">Licences!P12-P13</f>
        <v>3120</v>
      </c>
      <c r="Q25" s="67" t="n">
        <f aca="false">Licences!Q12-Q13</f>
        <v>30388.8</v>
      </c>
      <c r="R25" s="67" t="n">
        <f aca="false">Licences!R12-R13</f>
        <v>1634.88</v>
      </c>
      <c r="S25" s="67" t="n">
        <f aca="false">Licences!S12-S13</f>
        <v>2396.16</v>
      </c>
      <c r="T25" s="67" t="n">
        <f aca="false">Licences!T12-T13</f>
        <v>1859.52</v>
      </c>
      <c r="U25" s="67" t="n">
        <f aca="false">Licences!U12-U13</f>
        <v>1198.08</v>
      </c>
      <c r="V25" s="67" t="n">
        <f aca="false">Licences!V12-V13</f>
        <v>2159.04</v>
      </c>
      <c r="W25" s="67" t="n">
        <f aca="false">Licences!W12-W13</f>
        <v>1447.68</v>
      </c>
      <c r="X25" s="67" t="n">
        <f aca="false">Licences!X12-X13</f>
        <v>798.72</v>
      </c>
      <c r="Y25" s="67" t="n">
        <f aca="false">Licences!Y12-Y13</f>
        <v>2855.424</v>
      </c>
      <c r="Z25" s="67" t="n">
        <f aca="false">Licences!Z12-Z13</f>
        <v>1946.88</v>
      </c>
      <c r="AA25" s="67" t="n">
        <f aca="false">Licences!AA12-AA13</f>
        <v>1557.504</v>
      </c>
      <c r="AB25" s="67" t="n">
        <f aca="false">Licences!AB12-AB13</f>
        <v>3244.8</v>
      </c>
    </row>
    <row r="26" customFormat="false" ht="15" hidden="false" customHeight="false" outlineLevel="0" collapsed="false">
      <c r="A26" s="27" t="s">
        <v>1289</v>
      </c>
      <c r="B26" s="63"/>
      <c r="C26" s="66" t="n">
        <f aca="false">SUM(E26:P26)</f>
        <v>70922.5</v>
      </c>
      <c r="D26" s="66" t="n">
        <f aca="false">SUM(Q26:AB26)</f>
        <v>68520</v>
      </c>
      <c r="E26" s="67" t="n">
        <f aca="false">Licences!E22-E14</f>
        <v>4900</v>
      </c>
      <c r="F26" s="67" t="n">
        <f aca="false">Licences!F22-F14</f>
        <v>5400</v>
      </c>
      <c r="G26" s="67" t="n">
        <f aca="false">Licences!G22-G14</f>
        <v>6600</v>
      </c>
      <c r="H26" s="67" t="n">
        <f aca="false">Licences!H22-H14</f>
        <v>5700</v>
      </c>
      <c r="I26" s="67" t="n">
        <f aca="false">Licences!I22-I14</f>
        <v>5800</v>
      </c>
      <c r="J26" s="67" t="n">
        <f aca="false">Licences!J22-J14</f>
        <v>6100</v>
      </c>
      <c r="K26" s="67" t="n">
        <f aca="false">Licences!K22-K14</f>
        <v>5500</v>
      </c>
      <c r="L26" s="67" t="n">
        <f aca="false">Licences!L22-L14</f>
        <v>3800</v>
      </c>
      <c r="M26" s="67" t="n">
        <f aca="false">Licences!M22-M14</f>
        <v>6109.7</v>
      </c>
      <c r="N26" s="67" t="n">
        <f aca="false">Licences!N22-N14</f>
        <v>6509.4</v>
      </c>
      <c r="O26" s="67" t="n">
        <f aca="false">Licences!O22-O14</f>
        <v>6966.2</v>
      </c>
      <c r="P26" s="67" t="n">
        <f aca="false">Licences!P22-P14</f>
        <v>7537.2</v>
      </c>
      <c r="Q26" s="67" t="n">
        <f aca="false">Licences!Q22-Q14</f>
        <v>4682.2</v>
      </c>
      <c r="R26" s="67" t="n">
        <f aca="false">Licences!R22-R14</f>
        <v>5024.8</v>
      </c>
      <c r="S26" s="67" t="n">
        <f aca="false">Licences!S22-S14</f>
        <v>6166.8</v>
      </c>
      <c r="T26" s="67" t="n">
        <f aca="false">Licences!T22-T14</f>
        <v>5310.3</v>
      </c>
      <c r="U26" s="67" t="n">
        <f aca="false">Licences!U22-U14</f>
        <v>5481.6</v>
      </c>
      <c r="V26" s="67" t="n">
        <f aca="false">Licences!V22-V14</f>
        <v>5824.2</v>
      </c>
      <c r="W26" s="67" t="n">
        <f aca="false">Licences!W22-W14</f>
        <v>5253.2</v>
      </c>
      <c r="X26" s="67" t="n">
        <f aca="false">Licences!X22-X14</f>
        <v>3654.4</v>
      </c>
      <c r="Y26" s="67" t="n">
        <f aca="false">Licences!Y22-Y14</f>
        <v>6109.7</v>
      </c>
      <c r="Z26" s="67" t="n">
        <f aca="false">Licences!Z22-Z14</f>
        <v>6509.4</v>
      </c>
      <c r="AA26" s="67" t="n">
        <f aca="false">Licences!AA22-AA14</f>
        <v>6966.2</v>
      </c>
      <c r="AB26" s="67" t="n">
        <f aca="false">Licences!AB22-AB14</f>
        <v>7537.2</v>
      </c>
    </row>
    <row r="27" customFormat="false" ht="15" hidden="false" customHeight="false" outlineLevel="0" collapsed="false">
      <c r="A27" s="27" t="s">
        <v>1296</v>
      </c>
      <c r="B27" s="63" t="s">
        <v>53</v>
      </c>
      <c r="C27" s="66" t="n">
        <f aca="false">SUM(E27:P27)</f>
        <v>301569.6</v>
      </c>
      <c r="D27" s="66" t="n">
        <f aca="false">SUM(Q27:AB27)</f>
        <v>298272</v>
      </c>
      <c r="E27" s="67" t="n">
        <f aca="false">Hardware!E18</f>
        <v>22320</v>
      </c>
      <c r="F27" s="67" t="n">
        <f aca="false">Hardware!F18</f>
        <v>23640</v>
      </c>
      <c r="G27" s="67" t="n">
        <f aca="false">Hardware!G18</f>
        <v>26880</v>
      </c>
      <c r="H27" s="67" t="n">
        <f aca="false">Hardware!H18</f>
        <v>24120</v>
      </c>
      <c r="I27" s="67" t="n">
        <f aca="false">Hardware!I18</f>
        <v>25440</v>
      </c>
      <c r="J27" s="67" t="n">
        <f aca="false">Hardware!J18</f>
        <v>28560</v>
      </c>
      <c r="K27" s="67" t="n">
        <f aca="false">Hardware!K18</f>
        <v>23520</v>
      </c>
      <c r="L27" s="67" t="n">
        <f aca="false">Hardware!L18</f>
        <v>14520</v>
      </c>
      <c r="M27" s="67" t="n">
        <f aca="false">Hardware!M18</f>
        <v>29452.8</v>
      </c>
      <c r="N27" s="67" t="n">
        <f aca="false">Hardware!N18</f>
        <v>31948.8</v>
      </c>
      <c r="O27" s="67" t="n">
        <f aca="false">Hardware!O18</f>
        <v>26707.2</v>
      </c>
      <c r="P27" s="67" t="n">
        <f aca="false">Hardware!P18</f>
        <v>24460.8</v>
      </c>
      <c r="Q27" s="67" t="n">
        <f aca="false">Hardware!Q18</f>
        <v>21964.8</v>
      </c>
      <c r="R27" s="67" t="n">
        <f aca="false">Hardware!R18</f>
        <v>22963.2</v>
      </c>
      <c r="S27" s="67" t="n">
        <f aca="false">Hardware!S18</f>
        <v>26208</v>
      </c>
      <c r="T27" s="67" t="n">
        <f aca="false">Hardware!T18</f>
        <v>23712</v>
      </c>
      <c r="U27" s="67" t="n">
        <f aca="false">Hardware!U18</f>
        <v>24960</v>
      </c>
      <c r="V27" s="67" t="n">
        <f aca="false">Hardware!V18</f>
        <v>27955.2</v>
      </c>
      <c r="W27" s="67" t="n">
        <f aca="false">Hardware!W18</f>
        <v>22963.2</v>
      </c>
      <c r="X27" s="67" t="n">
        <f aca="false">Hardware!X18</f>
        <v>14976</v>
      </c>
      <c r="Y27" s="67" t="n">
        <f aca="false">Hardware!Y18</f>
        <v>29452.8</v>
      </c>
      <c r="Z27" s="67" t="n">
        <f aca="false">Hardware!Z18</f>
        <v>31948.8</v>
      </c>
      <c r="AA27" s="67" t="n">
        <f aca="false">Hardware!AA18</f>
        <v>26707.2</v>
      </c>
      <c r="AB27" s="67" t="n">
        <f aca="false">Hardware!AB18</f>
        <v>24460.8</v>
      </c>
    </row>
    <row r="28" customFormat="false" ht="15" hidden="false" customHeight="false" outlineLevel="0" collapsed="false">
      <c r="A28" s="27" t="s">
        <v>51</v>
      </c>
      <c r="B28" s="63"/>
      <c r="C28" s="66" t="n">
        <f aca="false">SUM(E28:P28)</f>
        <v>157085.414285714</v>
      </c>
      <c r="D28" s="66" t="n">
        <f aca="false">SUM(Q28:AB28)</f>
        <v>159090</v>
      </c>
      <c r="E28" s="67" t="n">
        <f aca="false">Projects!E171-Projects!E172</f>
        <v>21600</v>
      </c>
      <c r="F28" s="67" t="n">
        <f aca="false">Projects!F171-Projects!F172</f>
        <v>6460</v>
      </c>
      <c r="G28" s="67" t="n">
        <f aca="false">Projects!G171-Projects!G172</f>
        <v>36824</v>
      </c>
      <c r="H28" s="67" t="n">
        <f aca="false">Projects!H171-Projects!H172</f>
        <v>7616</v>
      </c>
      <c r="I28" s="67" t="n">
        <f aca="false">Projects!I171-Projects!I172</f>
        <v>7480</v>
      </c>
      <c r="J28" s="67" t="n">
        <f aca="false">Projects!J171-Projects!J172</f>
        <v>29488</v>
      </c>
      <c r="K28" s="67" t="n">
        <f aca="false">Projects!K171-Projects!K172</f>
        <v>7072</v>
      </c>
      <c r="L28" s="67" t="n">
        <f aca="false">Projects!L171-Projects!L172</f>
        <v>4896</v>
      </c>
      <c r="M28" s="67" t="n">
        <f aca="false">Projects!M171-Projects!M172</f>
        <v>10404</v>
      </c>
      <c r="N28" s="67" t="n">
        <f aca="false">Projects!N171-Projects!N172</f>
        <v>8348.75714285714</v>
      </c>
      <c r="O28" s="67" t="n">
        <f aca="false">Projects!O171-Projects!O172</f>
        <v>7538.75714285713</v>
      </c>
      <c r="P28" s="67" t="n">
        <f aca="false">Projects!P171-Projects!P172</f>
        <v>9357.89999999999</v>
      </c>
      <c r="Q28" s="67" t="n">
        <f aca="false">Projects!Q171-Projects!Q172</f>
        <v>10185</v>
      </c>
      <c r="R28" s="67" t="n">
        <f aca="false">Projects!R171-Projects!R172</f>
        <v>13365</v>
      </c>
      <c r="S28" s="67" t="n">
        <f aca="false">Projects!S171-Projects!S172</f>
        <v>14310</v>
      </c>
      <c r="T28" s="67" t="n">
        <f aca="false">Projects!T171-Projects!T172</f>
        <v>13770</v>
      </c>
      <c r="U28" s="67" t="n">
        <f aca="false">Projects!U171-Projects!U172</f>
        <v>13095</v>
      </c>
      <c r="V28" s="67" t="n">
        <f aca="false">Projects!V171-Projects!V172</f>
        <v>14850</v>
      </c>
      <c r="W28" s="67" t="n">
        <f aca="false">Projects!W171-Projects!W172</f>
        <v>12555</v>
      </c>
      <c r="X28" s="67" t="n">
        <f aca="false">Projects!X171-Projects!X172</f>
        <v>8100</v>
      </c>
      <c r="Y28" s="67" t="n">
        <f aca="false">Projects!Y171-Projects!Y172</f>
        <v>14175</v>
      </c>
      <c r="Z28" s="67" t="n">
        <f aca="false">Projects!Z171-Projects!Z172</f>
        <v>15660</v>
      </c>
      <c r="AA28" s="67" t="n">
        <f aca="false">Projects!AA171-Projects!AA172</f>
        <v>14850</v>
      </c>
      <c r="AB28" s="67" t="n">
        <f aca="false">Projects!AB171-Projects!AB172</f>
        <v>14175</v>
      </c>
    </row>
    <row r="29" customFormat="false" ht="15" hidden="false" customHeight="false" outlineLevel="0" collapsed="false">
      <c r="A29" s="59" t="s">
        <v>1297</v>
      </c>
      <c r="B29" s="60"/>
      <c r="C29" s="61" t="n">
        <f aca="false">SUM(E29:P29)</f>
        <v>1106015.2701985</v>
      </c>
      <c r="D29" s="61" t="n">
        <f aca="false">SUM(Q29:AB29)</f>
        <v>1149936.77276762</v>
      </c>
      <c r="E29" s="61" t="n">
        <f aca="false">SUM(E21:E28)</f>
        <v>121724.457815393</v>
      </c>
      <c r="F29" s="61" t="n">
        <f aca="false">SUM(F21:F28)</f>
        <v>80974.22514233</v>
      </c>
      <c r="G29" s="61" t="n">
        <f aca="false">SUM(G21:G28)</f>
        <v>116798.762704791</v>
      </c>
      <c r="H29" s="61" t="n">
        <f aca="false">SUM(H21:H28)</f>
        <v>83201.5022915326</v>
      </c>
      <c r="I29" s="61" t="n">
        <f aca="false">SUM(I21:I28)</f>
        <v>83625.8500504254</v>
      </c>
      <c r="J29" s="61" t="n">
        <f aca="false">SUM(J21:J28)</f>
        <v>109881.24661479</v>
      </c>
      <c r="K29" s="61" t="n">
        <f aca="false">SUM(K21:K28)</f>
        <v>81556.8923705229</v>
      </c>
      <c r="L29" s="61" t="n">
        <f aca="false">SUM(L21:L28)</f>
        <v>67278.8532825825</v>
      </c>
      <c r="M29" s="61" t="n">
        <f aca="false">SUM(M21:M28)</f>
        <v>92433.7058166363</v>
      </c>
      <c r="N29" s="61" t="n">
        <f aca="false">SUM(N21:N28)</f>
        <v>92727.0859911601</v>
      </c>
      <c r="O29" s="61" t="n">
        <f aca="false">SUM(O21:O28)</f>
        <v>87981.1761538344</v>
      </c>
      <c r="P29" s="61" t="n">
        <f aca="false">SUM(P21:P28)</f>
        <v>87831.5119645026</v>
      </c>
      <c r="Q29" s="61" t="n">
        <f aca="false">SUM(Q21:Q28)</f>
        <v>112170.119826888</v>
      </c>
      <c r="R29" s="61" t="n">
        <f aca="false">SUM(R21:R28)</f>
        <v>88068.9157076343</v>
      </c>
      <c r="S29" s="61" t="n">
        <f aca="false">SUM(S21:S28)</f>
        <v>94147.3005953324</v>
      </c>
      <c r="T29" s="61" t="n">
        <f aca="false">SUM(T21:T28)</f>
        <v>94548.2047191371</v>
      </c>
      <c r="U29" s="61" t="n">
        <f aca="false">SUM(U21:U28)</f>
        <v>92908.540836191</v>
      </c>
      <c r="V29" s="61" t="n">
        <f aca="false">SUM(V21:V28)</f>
        <v>99039.9258392877</v>
      </c>
      <c r="W29" s="61" t="n">
        <f aca="false">SUM(W21:W28)</f>
        <v>90310.9988610476</v>
      </c>
      <c r="X29" s="61" t="n">
        <f aca="false">SUM(X21:X28)</f>
        <v>75896.066646131</v>
      </c>
      <c r="Y29" s="61" t="n">
        <f aca="false">SUM(Y21:Y28)</f>
        <v>100835.363144226</v>
      </c>
      <c r="Z29" s="61" t="n">
        <f aca="false">SUM(Z21:Z28)</f>
        <v>104745.98877022</v>
      </c>
      <c r="AA29" s="61" t="n">
        <f aca="false">SUM(AA21:AA28)</f>
        <v>98840.2207956304</v>
      </c>
      <c r="AB29" s="61" t="n">
        <f aca="false">SUM(AB21:AB28)</f>
        <v>98425.127025899</v>
      </c>
    </row>
    <row r="30" customFormat="false" ht="15" hidden="false" customHeight="false" outlineLevel="0" collapsed="false">
      <c r="A30" s="27" t="s">
        <v>1298</v>
      </c>
      <c r="B30" s="63" t="s">
        <v>535</v>
      </c>
      <c r="C30" s="66" t="n">
        <f aca="false">SUM(E30:P30)</f>
        <v>804445.6701985</v>
      </c>
      <c r="D30" s="66" t="n">
        <f aca="false">SUM(Q30:AB30)</f>
        <v>851664.772767624</v>
      </c>
      <c r="E30" s="76" t="n">
        <f aca="false">E29-E27</f>
        <v>99404.4578153928</v>
      </c>
      <c r="F30" s="76" t="n">
        <f aca="false">F29-F27</f>
        <v>57334.22514233</v>
      </c>
      <c r="G30" s="76" t="n">
        <f aca="false">G29-G27</f>
        <v>89918.7627047913</v>
      </c>
      <c r="H30" s="76" t="n">
        <f aca="false">H29-H27</f>
        <v>59081.5022915326</v>
      </c>
      <c r="I30" s="76" t="n">
        <f aca="false">I29-I27</f>
        <v>58185.8500504254</v>
      </c>
      <c r="J30" s="76" t="n">
        <f aca="false">J29-J27</f>
        <v>81321.2466147895</v>
      </c>
      <c r="K30" s="76" t="n">
        <f aca="false">K29-K27</f>
        <v>58036.8923705229</v>
      </c>
      <c r="L30" s="76" t="n">
        <f aca="false">L29-L27</f>
        <v>52758.8532825825</v>
      </c>
      <c r="M30" s="76" t="n">
        <f aca="false">M29-M27</f>
        <v>62980.9058166363</v>
      </c>
      <c r="N30" s="76" t="n">
        <f aca="false">N29-N27</f>
        <v>60778.2859911601</v>
      </c>
      <c r="O30" s="76" t="n">
        <f aca="false">O29-O27</f>
        <v>61273.9761538344</v>
      </c>
      <c r="P30" s="76" t="n">
        <f aca="false">P29-P27</f>
        <v>63370.7119645026</v>
      </c>
      <c r="Q30" s="76" t="n">
        <f aca="false">Q29-Q27</f>
        <v>90205.3198268882</v>
      </c>
      <c r="R30" s="76" t="n">
        <f aca="false">R29-R27</f>
        <v>65105.7157076343</v>
      </c>
      <c r="S30" s="76" t="n">
        <f aca="false">S29-S27</f>
        <v>67939.3005953324</v>
      </c>
      <c r="T30" s="76" t="n">
        <f aca="false">T29-T27</f>
        <v>70836.2047191371</v>
      </c>
      <c r="U30" s="76" t="n">
        <f aca="false">U29-U27</f>
        <v>67948.540836191</v>
      </c>
      <c r="V30" s="76" t="n">
        <f aca="false">V29-V27</f>
        <v>71084.7258392877</v>
      </c>
      <c r="W30" s="76" t="n">
        <f aca="false">W29-W27</f>
        <v>67347.7988610476</v>
      </c>
      <c r="X30" s="76" t="n">
        <f aca="false">X29-X27</f>
        <v>60920.066646131</v>
      </c>
      <c r="Y30" s="76" t="n">
        <f aca="false">Y29-Y27</f>
        <v>71382.563144226</v>
      </c>
      <c r="Z30" s="76" t="n">
        <f aca="false">Z29-Z27</f>
        <v>72797.1887702198</v>
      </c>
      <c r="AA30" s="76" t="n">
        <f aca="false">AA29-AA27</f>
        <v>72133.0207956304</v>
      </c>
      <c r="AB30" s="76" t="n">
        <f aca="false">AB29-AB27</f>
        <v>73964.327025899</v>
      </c>
    </row>
    <row r="31" customFormat="false" ht="15" hidden="false" customHeight="false" outlineLevel="0" collapsed="false">
      <c r="A31" s="21" t="s">
        <v>1299</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row>
    <row r="32" customFormat="false" ht="15" hidden="false" customHeight="false" outlineLevel="0" collapsed="false">
      <c r="A32" s="27" t="s">
        <v>1300</v>
      </c>
      <c r="B32" s="63" t="s">
        <v>1301</v>
      </c>
      <c r="C32" s="66" t="n">
        <f aca="false">P32</f>
        <v>980541.764952577</v>
      </c>
      <c r="D32" s="66" t="n">
        <f aca="false">AB32</f>
        <v>1013643.85662002</v>
      </c>
      <c r="E32" s="67" t="n">
        <f aca="false">CHOOSE(INT((Assumptions!$C$140+Assumptions!$F$192)/30)+1,E19*(((Assumptions!$C$140+Assumptions!$F$192)-30*INT((Assumptions!$C$140+Assumptions!$F$192)/30))/30),E19+0*(((Assumptions!$C$140+Assumptions!$F$192)-30*INT((Assumptions!$C$140+Assumptions!$F$192)/30))/30),E19+0+0*(((Assumptions!$C$140+Assumptions!$F$192)-30*INT((Assumptions!$C$140+Assumptions!$F$192)/30))/30),E19+0+0+0*(((Assumptions!$C$140+Assumptions!$F$192)-30*INT((Assumptions!$C$140+Assumptions!$F$192)/30))/30))</f>
        <v>859239.405287067</v>
      </c>
      <c r="F32" s="67" t="n">
        <f aca="false">CHOOSE(INT((Assumptions!$C$140+Assumptions!$F$192)/30)+1,F19*(((Assumptions!$C$140+Assumptions!$F$192)-30*INT((Assumptions!$C$140+Assumptions!$F$192)/30))/30),F19+E19*(((Assumptions!$C$140+Assumptions!$F$192)-30*INT((Assumptions!$C$140+Assumptions!$F$192)/30))/30),F19+E19+0*(((Assumptions!$C$140+Assumptions!$F$192)-30*INT((Assumptions!$C$140+Assumptions!$F$192)/30))/30),F19+E19+0+0*(((Assumptions!$C$140+Assumptions!$F$192)-30*INT((Assumptions!$C$140+Assumptions!$F$192)/30))/30))</f>
        <v>866796.720351485</v>
      </c>
      <c r="G32" s="67" t="n">
        <f aca="false">CHOOSE(INT((Assumptions!$C$140+Assumptions!$F$192)/30)+1,G19*(((Assumptions!$C$140+Assumptions!$F$192)-30*INT((Assumptions!$C$140+Assumptions!$F$192)/30))/30),G19+F19*(((Assumptions!$C$140+Assumptions!$F$192)-30*INT((Assumptions!$C$140+Assumptions!$F$192)/30))/30),G19+F19+E19*(((Assumptions!$C$140+Assumptions!$F$192)-30*INT((Assumptions!$C$140+Assumptions!$F$192)/30))/30),G19+F19+E19+0*(((Assumptions!$C$140+Assumptions!$F$192)-30*INT((Assumptions!$C$140+Assumptions!$F$192)/30))/30))</f>
        <v>870475.384446422</v>
      </c>
      <c r="H32" s="67" t="n">
        <f aca="false">CHOOSE(INT((Assumptions!$C$140+Assumptions!$F$192)/30)+1,H19*(((Assumptions!$C$140+Assumptions!$F$192)-30*INT((Assumptions!$C$140+Assumptions!$F$192)/30))/30),H19+G19*(((Assumptions!$C$140+Assumptions!$F$192)-30*INT((Assumptions!$C$140+Assumptions!$F$192)/30))/30),H19+G19+F19*(((Assumptions!$C$140+Assumptions!$F$192)-30*INT((Assumptions!$C$140+Assumptions!$F$192)/30))/30),H19+G19+F19+E19*(((Assumptions!$C$140+Assumptions!$F$192)-30*INT((Assumptions!$C$140+Assumptions!$F$192)/30))/30))</f>
        <v>926607.204094243</v>
      </c>
      <c r="I32" s="67" t="n">
        <f aca="false">CHOOSE(INT((Assumptions!$C$140+Assumptions!$F$192)/30)+1,I19*(((Assumptions!$C$140+Assumptions!$F$192)-30*INT((Assumptions!$C$140+Assumptions!$F$192)/30))/30),I19+H19*(((Assumptions!$C$140+Assumptions!$F$192)-30*INT((Assumptions!$C$140+Assumptions!$F$192)/30))/30),I19+H19+G19*(((Assumptions!$C$140+Assumptions!$F$192)-30*INT((Assumptions!$C$140+Assumptions!$F$192)/30))/30),I19+H19+G19+F19*(((Assumptions!$C$140+Assumptions!$F$192)-30*INT((Assumptions!$C$140+Assumptions!$F$192)/30))/30))</f>
        <v>870335.357246354</v>
      </c>
      <c r="J32" s="67" t="n">
        <f aca="false">CHOOSE(INT((Assumptions!$C$140+Assumptions!$F$192)/30)+1,J19*(((Assumptions!$C$140+Assumptions!$F$192)-30*INT((Assumptions!$C$140+Assumptions!$F$192)/30))/30),J19+I19*(((Assumptions!$C$140+Assumptions!$F$192)-30*INT((Assumptions!$C$140+Assumptions!$F$192)/30))/30),J19+I19+H19*(((Assumptions!$C$140+Assumptions!$F$192)-30*INT((Assumptions!$C$140+Assumptions!$F$192)/30))/30),J19+I19+H19+G19*(((Assumptions!$C$140+Assumptions!$F$192)-30*INT((Assumptions!$C$140+Assumptions!$F$192)/30))/30))</f>
        <v>868847.282787269</v>
      </c>
      <c r="K32" s="67" t="n">
        <f aca="false">CHOOSE(INT((Assumptions!$C$140+Assumptions!$F$192)/30)+1,K19*(((Assumptions!$C$140+Assumptions!$F$192)-30*INT((Assumptions!$C$140+Assumptions!$F$192)/30))/30),K19+J19*(((Assumptions!$C$140+Assumptions!$F$192)-30*INT((Assumptions!$C$140+Assumptions!$F$192)/30))/30),K19+J19+I19*(((Assumptions!$C$140+Assumptions!$F$192)-30*INT((Assumptions!$C$140+Assumptions!$F$192)/30))/30),K19+J19+I19+H19*(((Assumptions!$C$140+Assumptions!$F$192)-30*INT((Assumptions!$C$140+Assumptions!$F$192)/30))/30))</f>
        <v>848195.421854606</v>
      </c>
      <c r="L32" s="67" t="n">
        <f aca="false">CHOOSE(INT((Assumptions!$C$140+Assumptions!$F$192)/30)+1,L19*(((Assumptions!$C$140+Assumptions!$F$192)-30*INT((Assumptions!$C$140+Assumptions!$F$192)/30))/30),L19+K19*(((Assumptions!$C$140+Assumptions!$F$192)-30*INT((Assumptions!$C$140+Assumptions!$F$192)/30))/30),L19+K19+J19*(((Assumptions!$C$140+Assumptions!$F$192)-30*INT((Assumptions!$C$140+Assumptions!$F$192)/30))/30),L19+K19+J19+I19*(((Assumptions!$C$140+Assumptions!$F$192)-30*INT((Assumptions!$C$140+Assumptions!$F$192)/30))/30))</f>
        <v>714105.209944892</v>
      </c>
      <c r="M32" s="67" t="n">
        <f aca="false">CHOOSE(INT((Assumptions!$C$140+Assumptions!$F$192)/30)+1,M19*(((Assumptions!$C$140+Assumptions!$F$192)-30*INT((Assumptions!$C$140+Assumptions!$F$192)/30))/30),M19+L19*(((Assumptions!$C$140+Assumptions!$F$192)-30*INT((Assumptions!$C$140+Assumptions!$F$192)/30))/30),M19+L19+K19*(((Assumptions!$C$140+Assumptions!$F$192)-30*INT((Assumptions!$C$140+Assumptions!$F$192)/30))/30),M19+L19+K19+J19*(((Assumptions!$C$140+Assumptions!$F$192)-30*INT((Assumptions!$C$140+Assumptions!$F$192)/30))/30))</f>
        <v>891075.049137173</v>
      </c>
      <c r="N32" s="67" t="n">
        <f aca="false">CHOOSE(INT((Assumptions!$C$140+Assumptions!$F$192)/30)+1,N19*(((Assumptions!$C$140+Assumptions!$F$192)-30*INT((Assumptions!$C$140+Assumptions!$F$192)/30))/30),N19+M19*(((Assumptions!$C$140+Assumptions!$F$192)-30*INT((Assumptions!$C$140+Assumptions!$F$192)/30))/30),N19+M19+L19*(((Assumptions!$C$140+Assumptions!$F$192)-30*INT((Assumptions!$C$140+Assumptions!$F$192)/30))/30),N19+M19+L19+K19*(((Assumptions!$C$140+Assumptions!$F$192)-30*INT((Assumptions!$C$140+Assumptions!$F$192)/30))/30))</f>
        <v>964686.955674379</v>
      </c>
      <c r="O32" s="67" t="n">
        <f aca="false">CHOOSE(INT((Assumptions!$C$140+Assumptions!$F$192)/30)+1,O19*(((Assumptions!$C$140+Assumptions!$F$192)-30*INT((Assumptions!$C$140+Assumptions!$F$192)/30))/30),O19+N19*(((Assumptions!$C$140+Assumptions!$F$192)-30*INT((Assumptions!$C$140+Assumptions!$F$192)/30))/30),O19+N19+M19*(((Assumptions!$C$140+Assumptions!$F$192)-30*INT((Assumptions!$C$140+Assumptions!$F$192)/30))/30),O19+N19+M19+L19*(((Assumptions!$C$140+Assumptions!$F$192)-30*INT((Assumptions!$C$140+Assumptions!$F$192)/30))/30))</f>
        <v>1065895.40706613</v>
      </c>
      <c r="P32" s="67" t="n">
        <f aca="false">CHOOSE(INT((Assumptions!$C$140+Assumptions!$F$192)/30)+1,P19*(((Assumptions!$C$140+Assumptions!$F$192)-30*INT((Assumptions!$C$140+Assumptions!$F$192)/30))/30),P19+O19*(((Assumptions!$C$140+Assumptions!$F$192)-30*INT((Assumptions!$C$140+Assumptions!$F$192)/30))/30),P19+O19+N19*(((Assumptions!$C$140+Assumptions!$F$192)-30*INT((Assumptions!$C$140+Assumptions!$F$192)/30))/30),P19+O19+N19+M19*(((Assumptions!$C$140+Assumptions!$F$192)-30*INT((Assumptions!$C$140+Assumptions!$F$192)/30))/30))</f>
        <v>980541.764952577</v>
      </c>
      <c r="Q32" s="67" t="n">
        <f aca="false">CHOOSE(INT((Assumptions!$C$140+Assumptions!$F$192)/30)+1,Q19*(((Assumptions!$C$140+Assumptions!$F$192)-30*INT((Assumptions!$C$140+Assumptions!$F$192)/30))/30),Q19+P19*(((Assumptions!$C$140+Assumptions!$F$192)-30*INT((Assumptions!$C$140+Assumptions!$F$192)/30))/30),Q19+P19+O19*(((Assumptions!$C$140+Assumptions!$F$192)-30*INT((Assumptions!$C$140+Assumptions!$F$192)/30))/30),Q19+P19+O19+N19*(((Assumptions!$C$140+Assumptions!$F$192)-30*INT((Assumptions!$C$140+Assumptions!$F$192)/30))/30))</f>
        <v>1184789.13138886</v>
      </c>
      <c r="R32" s="67" t="n">
        <f aca="false">CHOOSE(INT((Assumptions!$C$140+Assumptions!$F$192)/30)+1,R19*(((Assumptions!$C$140+Assumptions!$F$192)-30*INT((Assumptions!$C$140+Assumptions!$F$192)/30))/30),R19+Q19*(((Assumptions!$C$140+Assumptions!$F$192)-30*INT((Assumptions!$C$140+Assumptions!$F$192)/30))/30),R19+Q19+P19*(((Assumptions!$C$140+Assumptions!$F$192)-30*INT((Assumptions!$C$140+Assumptions!$F$192)/30))/30),R19+Q19+P19+O19*(((Assumptions!$C$140+Assumptions!$F$192)-30*INT((Assumptions!$C$140+Assumptions!$F$192)/30))/30))</f>
        <v>996572.896639656</v>
      </c>
      <c r="S32" s="67" t="n">
        <f aca="false">CHOOSE(INT((Assumptions!$C$140+Assumptions!$F$192)/30)+1,S19*(((Assumptions!$C$140+Assumptions!$F$192)-30*INT((Assumptions!$C$140+Assumptions!$F$192)/30))/30),S19+R19*(((Assumptions!$C$140+Assumptions!$F$192)-30*INT((Assumptions!$C$140+Assumptions!$F$192)/30))/30),S19+R19+Q19*(((Assumptions!$C$140+Assumptions!$F$192)-30*INT((Assumptions!$C$140+Assumptions!$F$192)/30))/30),S19+R19+Q19+P19*(((Assumptions!$C$140+Assumptions!$F$192)-30*INT((Assumptions!$C$140+Assumptions!$F$192)/30))/30))</f>
        <v>979277.184682326</v>
      </c>
      <c r="T32" s="67" t="n">
        <f aca="false">CHOOSE(INT((Assumptions!$C$140+Assumptions!$F$192)/30)+1,T19*(((Assumptions!$C$140+Assumptions!$F$192)-30*INT((Assumptions!$C$140+Assumptions!$F$192)/30))/30),T19+S19*(((Assumptions!$C$140+Assumptions!$F$192)-30*INT((Assumptions!$C$140+Assumptions!$F$192)/30))/30),T19+S19+R19*(((Assumptions!$C$140+Assumptions!$F$192)-30*INT((Assumptions!$C$140+Assumptions!$F$192)/30))/30),T19+S19+R19+Q19*(((Assumptions!$C$140+Assumptions!$F$192)-30*INT((Assumptions!$C$140+Assumptions!$F$192)/30))/30))</f>
        <v>955099.093416209</v>
      </c>
      <c r="U32" s="67" t="n">
        <f aca="false">CHOOSE(INT((Assumptions!$C$140+Assumptions!$F$192)/30)+1,U19*(((Assumptions!$C$140+Assumptions!$F$192)-30*INT((Assumptions!$C$140+Assumptions!$F$192)/30))/30),U19+T19*(((Assumptions!$C$140+Assumptions!$F$192)-30*INT((Assumptions!$C$140+Assumptions!$F$192)/30))/30),U19+T19+S19*(((Assumptions!$C$140+Assumptions!$F$192)-30*INT((Assumptions!$C$140+Assumptions!$F$192)/30))/30),U19+T19+S19+R19*(((Assumptions!$C$140+Assumptions!$F$192)-30*INT((Assumptions!$C$140+Assumptions!$F$192)/30))/30))</f>
        <v>948428.924265957</v>
      </c>
      <c r="V32" s="67" t="n">
        <f aca="false">CHOOSE(INT((Assumptions!$C$140+Assumptions!$F$192)/30)+1,V19*(((Assumptions!$C$140+Assumptions!$F$192)-30*INT((Assumptions!$C$140+Assumptions!$F$192)/30))/30),V19+U19*(((Assumptions!$C$140+Assumptions!$F$192)-30*INT((Assumptions!$C$140+Assumptions!$F$192)/30))/30),V19+U19+T19*(((Assumptions!$C$140+Assumptions!$F$192)-30*INT((Assumptions!$C$140+Assumptions!$F$192)/30))/30),V19+U19+T19+S19*(((Assumptions!$C$140+Assumptions!$F$192)-30*INT((Assumptions!$C$140+Assumptions!$F$192)/30))/30))</f>
        <v>1001924.34552507</v>
      </c>
      <c r="W32" s="67" t="n">
        <f aca="false">CHOOSE(INT((Assumptions!$C$140+Assumptions!$F$192)/30)+1,W19*(((Assumptions!$C$140+Assumptions!$F$192)-30*INT((Assumptions!$C$140+Assumptions!$F$192)/30))/30),W19+V19*(((Assumptions!$C$140+Assumptions!$F$192)-30*INT((Assumptions!$C$140+Assumptions!$F$192)/30))/30),W19+V19+U19*(((Assumptions!$C$140+Assumptions!$F$192)-30*INT((Assumptions!$C$140+Assumptions!$F$192)/30))/30),W19+V19+U19+T19*(((Assumptions!$C$140+Assumptions!$F$192)-30*INT((Assumptions!$C$140+Assumptions!$F$192)/30))/30))</f>
        <v>943704.91364636</v>
      </c>
      <c r="X32" s="67" t="n">
        <f aca="false">CHOOSE(INT((Assumptions!$C$140+Assumptions!$F$192)/30)+1,X19*(((Assumptions!$C$140+Assumptions!$F$192)-30*INT((Assumptions!$C$140+Assumptions!$F$192)/30))/30),X19+W19*(((Assumptions!$C$140+Assumptions!$F$192)-30*INT((Assumptions!$C$140+Assumptions!$F$192)/30))/30),X19+W19+V19*(((Assumptions!$C$140+Assumptions!$F$192)-30*INT((Assumptions!$C$140+Assumptions!$F$192)/30))/30),X19+W19+V19+U19*(((Assumptions!$C$140+Assumptions!$F$192)-30*INT((Assumptions!$C$140+Assumptions!$F$192)/30))/30))</f>
        <v>797288.855015911</v>
      </c>
      <c r="Y32" s="67" t="n">
        <f aca="false">CHOOSE(INT((Assumptions!$C$140+Assumptions!$F$192)/30)+1,Y19*(((Assumptions!$C$140+Assumptions!$F$192)-30*INT((Assumptions!$C$140+Assumptions!$F$192)/30))/30),Y19+X19*(((Assumptions!$C$140+Assumptions!$F$192)-30*INT((Assumptions!$C$140+Assumptions!$F$192)/30))/30),Y19+X19+W19*(((Assumptions!$C$140+Assumptions!$F$192)-30*INT((Assumptions!$C$140+Assumptions!$F$192)/30))/30),Y19+X19+W19+V19*(((Assumptions!$C$140+Assumptions!$F$192)-30*INT((Assumptions!$C$140+Assumptions!$F$192)/30))/30))</f>
        <v>981444.127615616</v>
      </c>
      <c r="Z32" s="67" t="n">
        <f aca="false">CHOOSE(INT((Assumptions!$C$140+Assumptions!$F$192)/30)+1,Z19*(((Assumptions!$C$140+Assumptions!$F$192)-30*INT((Assumptions!$C$140+Assumptions!$F$192)/30))/30),Z19+Y19*(((Assumptions!$C$140+Assumptions!$F$192)-30*INT((Assumptions!$C$140+Assumptions!$F$192)/30))/30),Z19+Y19+X19*(((Assumptions!$C$140+Assumptions!$F$192)-30*INT((Assumptions!$C$140+Assumptions!$F$192)/30))/30),Z19+Y19+X19+W19*(((Assumptions!$C$140+Assumptions!$F$192)-30*INT((Assumptions!$C$140+Assumptions!$F$192)/30))/30))</f>
        <v>1071378.74302437</v>
      </c>
      <c r="AA32" s="67" t="n">
        <f aca="false">CHOOSE(INT((Assumptions!$C$140+Assumptions!$F$192)/30)+1,AA19*(((Assumptions!$C$140+Assumptions!$F$192)-30*INT((Assumptions!$C$140+Assumptions!$F$192)/30))/30),AA19+Z19*(((Assumptions!$C$140+Assumptions!$F$192)-30*INT((Assumptions!$C$140+Assumptions!$F$192)/30))/30),AA19+Z19+Y19*(((Assumptions!$C$140+Assumptions!$F$192)-30*INT((Assumptions!$C$140+Assumptions!$F$192)/30))/30),AA19+Z19+Y19+X19*(((Assumptions!$C$140+Assumptions!$F$192)-30*INT((Assumptions!$C$140+Assumptions!$F$192)/30))/30))</f>
        <v>1029666.19414231</v>
      </c>
      <c r="AB32" s="67" t="n">
        <f aca="false">CHOOSE(INT((Assumptions!$C$140+Assumptions!$F$192)/30)+1,AB19*(((Assumptions!$C$140+Assumptions!$F$192)-30*INT((Assumptions!$C$140+Assumptions!$F$192)/30))/30),AB19+AA19*(((Assumptions!$C$140+Assumptions!$F$192)-30*INT((Assumptions!$C$140+Assumptions!$F$192)/30))/30),AB19+AA19+Z19*(((Assumptions!$C$140+Assumptions!$F$192)-30*INT((Assumptions!$C$140+Assumptions!$F$192)/30))/30),AB19+AA19+Z19+Y19*(((Assumptions!$C$140+Assumptions!$F$192)-30*INT((Assumptions!$C$140+Assumptions!$F$192)/30))/30))</f>
        <v>1013643.85662002</v>
      </c>
    </row>
    <row r="33" customFormat="false" ht="15" hidden="false" customHeight="false" outlineLevel="0" collapsed="false">
      <c r="A33" s="27" t="s">
        <v>1302</v>
      </c>
      <c r="B33" s="63" t="s">
        <v>1303</v>
      </c>
      <c r="C33" s="66" t="n">
        <f aca="false">SUM(E33:P33)</f>
        <v>8729799.55795942</v>
      </c>
      <c r="D33" s="66" t="n">
        <f aca="false">SUM(Q33:AB33)</f>
        <v>9374484.72843475</v>
      </c>
      <c r="E33" s="67" t="n">
        <f aca="false">IF(E$5="A",Inputs_Actuals!E257,Inputs_Actuals!$C$279+E19-E32)</f>
        <v>858639.12</v>
      </c>
      <c r="F33" s="67" t="n">
        <f aca="false">IF(F$5="A",Inputs_Actuals!F257,E34+F19-F32)</f>
        <v>855237.39</v>
      </c>
      <c r="G33" s="67" t="n">
        <f aca="false">IF(G$5="A",Inputs_Actuals!G257,F34+G19-G32)</f>
        <v>696752.39</v>
      </c>
      <c r="H33" s="67" t="n">
        <f aca="false">IF(H$5="A",Inputs_Actuals!H257,G34+H19-H32)</f>
        <v>683693.77</v>
      </c>
      <c r="I33" s="67" t="n">
        <f aca="false">IF(I$5="A",Inputs_Actuals!I257,H34+I19-I32)</f>
        <v>729320.38</v>
      </c>
      <c r="J33" s="67" t="n">
        <f aca="false">IF(J$5="A",Inputs_Actuals!J257,I34+J19-J32)</f>
        <v>690855.75</v>
      </c>
      <c r="K33" s="67" t="n">
        <f aca="false">IF(K$5="A",Inputs_Actuals!K257,J34+K19-K32)</f>
        <v>685015.9</v>
      </c>
      <c r="L33" s="67" t="n">
        <f aca="false">IF(L$5="A",Inputs_Actuals!L257,K34+L19-L32)</f>
        <v>671031.68</v>
      </c>
      <c r="M33" s="67" t="n">
        <f aca="false">IF(M$5="A",Inputs_Actuals!M257,L34+M19-M32)</f>
        <v>570920.830901676</v>
      </c>
      <c r="N33" s="67" t="n">
        <f aca="false">IF(N$5="A",Inputs_Actuals!N257,M34+N19-N32)</f>
        <v>691637.540237477</v>
      </c>
      <c r="O33" s="67" t="n">
        <f aca="false">IF(O$5="A",Inputs_Actuals!O257,N34+O19-O32)</f>
        <v>760620.436534464</v>
      </c>
      <c r="P33" s="67" t="n">
        <f aca="false">IF(P$5="A",Inputs_Actuals!P257,O34+P19-P32)</f>
        <v>836074.370285806</v>
      </c>
      <c r="Q33" s="67" t="n">
        <f aca="false">IF(Q$5="A",Inputs_Actuals!Q257,P34+Q19-Q32)</f>
        <v>780349.57077331</v>
      </c>
      <c r="R33" s="67" t="n">
        <f aca="false">IF(R$5="A",Inputs_Actuals!R257,Q34+R19-R32)</f>
        <v>922229.948132969</v>
      </c>
      <c r="S33" s="67" t="n">
        <f aca="false">IF(S$5="A",Inputs_Actuals!S257,R34+S19-S32)</f>
        <v>800835.906403986</v>
      </c>
      <c r="T33" s="67" t="n">
        <f aca="false">IF(T$5="A",Inputs_Actuals!T257,S34+T19-T32)</f>
        <v>770333.132829885</v>
      </c>
      <c r="U33" s="67" t="n">
        <f aca="false">IF(U$5="A",Inputs_Actuals!U257,T34+U19-U32)</f>
        <v>756124.415665871</v>
      </c>
      <c r="V33" s="67" t="n">
        <f aca="false">IF(V$5="A",Inputs_Actuals!V257,U34+V19-V32)</f>
        <v>748574.458528459</v>
      </c>
      <c r="W33" s="67" t="n">
        <f aca="false">IF(W$5="A",Inputs_Actuals!W257,V34+W19-W32)</f>
        <v>788039.044248381</v>
      </c>
      <c r="X33" s="67" t="n">
        <f aca="false">IF(X$5="A",Inputs_Actuals!X257,W34+X19-X32)</f>
        <v>749086.35034778</v>
      </c>
      <c r="Y33" s="67" t="n">
        <f aca="false">IF(Y$5="A",Inputs_Actuals!Y257,X34+Y19-Y32)</f>
        <v>636576.777224623</v>
      </c>
      <c r="Z33" s="67" t="n">
        <f aca="false">IF(Z$5="A",Inputs_Actuals!Z257,Y34+Z19-Z32)</f>
        <v>762582.247662462</v>
      </c>
      <c r="AA33" s="67" t="n">
        <f aca="false">IF(AA$5="A",Inputs_Actuals!AA257,Z34+AA19-AA32)</f>
        <v>844040.912872044</v>
      </c>
      <c r="AB33" s="67" t="n">
        <f aca="false">IF(AB$5="A",Inputs_Actuals!AB257,AA34+AB19-AB32)</f>
        <v>815711.96374498</v>
      </c>
    </row>
    <row r="34" customFormat="false" ht="15" hidden="false" customHeight="false" outlineLevel="0" collapsed="false">
      <c r="A34" s="59" t="s">
        <v>1304</v>
      </c>
      <c r="B34" s="60" t="s">
        <v>1305</v>
      </c>
      <c r="C34" s="61" t="n">
        <f aca="false">P34</f>
        <v>980541.764952577</v>
      </c>
      <c r="D34" s="61" t="n">
        <f aca="false">AB34</f>
        <v>1013643.85662002</v>
      </c>
      <c r="E34" s="62" t="n">
        <f aca="false">Inputs_Actuals!$C$279+E19-E33</f>
        <v>1084367.90528707</v>
      </c>
      <c r="F34" s="61" t="n">
        <f aca="false">E34+F19-F33</f>
        <v>866796.727562001</v>
      </c>
      <c r="G34" s="61" t="n">
        <f aca="false">F34+G19-G33</f>
        <v>870475.398735108</v>
      </c>
      <c r="H34" s="61" t="n">
        <f aca="false">G34+H19-H33</f>
        <v>926607.216516523</v>
      </c>
      <c r="I34" s="61" t="n">
        <f aca="false">H34+I19-I33</f>
        <v>870335.3703545</v>
      </c>
      <c r="J34" s="61" t="n">
        <f aca="false">I34+J19-J33</f>
        <v>868847.294118309</v>
      </c>
      <c r="K34" s="61" t="n">
        <f aca="false">J34+K19-K33</f>
        <v>848195.436302565</v>
      </c>
      <c r="L34" s="61" t="n">
        <f aca="false">K34+L19-L33</f>
        <v>714105.221664989</v>
      </c>
      <c r="M34" s="61" t="n">
        <f aca="false">L34+M19-M33</f>
        <v>891075.049137173</v>
      </c>
      <c r="N34" s="61" t="n">
        <f aca="false">M34+N19-N33</f>
        <v>964686.955674379</v>
      </c>
      <c r="O34" s="61" t="n">
        <f aca="false">N34+O19-O33</f>
        <v>1065895.40706613</v>
      </c>
      <c r="P34" s="61" t="n">
        <f aca="false">O34+P19-P33</f>
        <v>980541.764952577</v>
      </c>
      <c r="Q34" s="61" t="n">
        <f aca="false">P34+Q19-Q33</f>
        <v>1184789.13138886</v>
      </c>
      <c r="R34" s="61" t="n">
        <f aca="false">Q34+R19-R33</f>
        <v>996572.896639656</v>
      </c>
      <c r="S34" s="61" t="n">
        <f aca="false">R34+S19-S33</f>
        <v>979277.184682326</v>
      </c>
      <c r="T34" s="61" t="n">
        <f aca="false">S34+T19-T33</f>
        <v>955099.093416209</v>
      </c>
      <c r="U34" s="61" t="n">
        <f aca="false">T34+U19-U33</f>
        <v>948428.924265957</v>
      </c>
      <c r="V34" s="61" t="n">
        <f aca="false">U34+V19-V33</f>
        <v>1001924.34552507</v>
      </c>
      <c r="W34" s="61" t="n">
        <f aca="false">V34+W19-W33</f>
        <v>943704.91364636</v>
      </c>
      <c r="X34" s="61" t="n">
        <f aca="false">W34+X19-X33</f>
        <v>797288.855015911</v>
      </c>
      <c r="Y34" s="61" t="n">
        <f aca="false">X34+Y19-Y33</f>
        <v>981444.127615616</v>
      </c>
      <c r="Z34" s="61" t="n">
        <f aca="false">Y34+Z19-Z33</f>
        <v>1071378.74302437</v>
      </c>
      <c r="AA34" s="61" t="n">
        <f aca="false">Z34+AA19-AA33</f>
        <v>1029666.19414231</v>
      </c>
      <c r="AB34" s="61" t="n">
        <f aca="false">AA34+AB19-AB33</f>
        <v>1013643.85662002</v>
      </c>
    </row>
    <row r="35" customFormat="false" ht="15" hidden="false" customHeight="false" outlineLevel="0" collapsed="false">
      <c r="A35" s="21" t="s">
        <v>1306</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row>
    <row r="36" customFormat="false" ht="15" hidden="false" customHeight="false" outlineLevel="0" collapsed="false">
      <c r="A36" s="27" t="s">
        <v>1307</v>
      </c>
      <c r="B36" s="63" t="s">
        <v>1308</v>
      </c>
      <c r="C36" s="66" t="n">
        <f aca="false">P36</f>
        <v>0</v>
      </c>
      <c r="D36" s="66" t="n">
        <f aca="false">AB36</f>
        <v>0</v>
      </c>
      <c r="E36" s="67" t="n">
        <f aca="false">IF(E$5="A",IF(Assumptions!E$201&gt;=6,Assumptions!$C$142,0),0-E39-E40)</f>
        <v>0</v>
      </c>
      <c r="F36" s="67" t="n">
        <f aca="false">IF(F$5="A",IF(Assumptions!F$201&gt;=6,Assumptions!$C$142,0),E36-F39-F40)</f>
        <v>0</v>
      </c>
      <c r="G36" s="67" t="n">
        <f aca="false">IF(G$5="A",IF(Assumptions!G$201&gt;=6,Assumptions!$C$142,0),F36-G39-G40)</f>
        <v>0</v>
      </c>
      <c r="H36" s="67" t="n">
        <f aca="false">IF(H$5="A",IF(Assumptions!H$201&gt;=6,Assumptions!$C$142,0),G36-H39-H40)</f>
        <v>0</v>
      </c>
      <c r="I36" s="67" t="n">
        <f aca="false">IF(I$5="A",IF(Assumptions!I$201&gt;=6,Assumptions!$C$142,0),H36-I39-I40)</f>
        <v>0</v>
      </c>
      <c r="J36" s="67" t="n">
        <f aca="false">IF(J$5="A",IF(Assumptions!J$201&gt;=6,Assumptions!$C$142,0),I36-J39-J40)</f>
        <v>21600</v>
      </c>
      <c r="K36" s="67" t="n">
        <f aca="false">IF(K$5="A",IF(Assumptions!K$201&gt;=6,Assumptions!$C$142,0),J36-K39-K40)</f>
        <v>21600</v>
      </c>
      <c r="L36" s="67" t="n">
        <f aca="false">IF(L$5="A",IF(Assumptions!L$201&gt;=6,Assumptions!$C$142,0),K36-L39-L40)</f>
        <v>21600</v>
      </c>
      <c r="M36" s="67" t="n">
        <f aca="false">IF(M$5="A",IF(Assumptions!M$201&gt;=6,Assumptions!$C$142,0),L36-M39-M40)</f>
        <v>21600</v>
      </c>
      <c r="N36" s="67" t="n">
        <f aca="false">IF(N$5="A",IF(Assumptions!N$201&gt;=6,Assumptions!$C$142,0),M36-N39-N40)</f>
        <v>0</v>
      </c>
      <c r="O36" s="67" t="n">
        <f aca="false">IF(O$5="A",IF(Assumptions!O$201&gt;=6,Assumptions!$C$142,0),N36-O39-O40)</f>
        <v>0</v>
      </c>
      <c r="P36" s="67" t="n">
        <f aca="false">IF(P$5="A",IF(Assumptions!P$201&gt;=6,Assumptions!$C$142,0),O36-P39-P40)</f>
        <v>0</v>
      </c>
      <c r="Q36" s="67" t="n">
        <f aca="false">IF(Q$5="A",IF(Assumptions!Q$201&gt;=6,Assumptions!$C$142,0),P36-Q39-Q40)</f>
        <v>0</v>
      </c>
      <c r="R36" s="67" t="n">
        <f aca="false">IF(R$5="A",IF(Assumptions!R$201&gt;=6,Assumptions!$C$142,0),Q36-R39-R40)</f>
        <v>0</v>
      </c>
      <c r="S36" s="67" t="n">
        <f aca="false">IF(S$5="A",IF(Assumptions!S$201&gt;=6,Assumptions!$C$142,0),R36-S39-S40)</f>
        <v>0</v>
      </c>
      <c r="T36" s="67" t="n">
        <f aca="false">IF(T$5="A",IF(Assumptions!T$201&gt;=6,Assumptions!$C$142,0),S36-T39-T40)</f>
        <v>0</v>
      </c>
      <c r="U36" s="67" t="n">
        <f aca="false">IF(U$5="A",IF(Assumptions!U$201&gt;=6,Assumptions!$C$142,0),T36-U39-U40)</f>
        <v>0</v>
      </c>
      <c r="V36" s="67" t="n">
        <f aca="false">IF(V$5="A",IF(Assumptions!V$201&gt;=6,Assumptions!$C$142,0),U36-V39-V40)</f>
        <v>0</v>
      </c>
      <c r="W36" s="67" t="n">
        <f aca="false">IF(W$5="A",IF(Assumptions!W$201&gt;=6,Assumptions!$C$142,0),V36-W39-W40)</f>
        <v>0</v>
      </c>
      <c r="X36" s="67" t="n">
        <f aca="false">IF(X$5="A",IF(Assumptions!X$201&gt;=6,Assumptions!$C$142,0),W36-X39-X40)</f>
        <v>0</v>
      </c>
      <c r="Y36" s="67" t="n">
        <f aca="false">IF(Y$5="A",IF(Assumptions!Y$201&gt;=6,Assumptions!$C$142,0),X36-Y39-Y40)</f>
        <v>0</v>
      </c>
      <c r="Z36" s="67" t="n">
        <f aca="false">IF(Z$5="A",IF(Assumptions!Z$201&gt;=6,Assumptions!$C$142,0),Y36-Z39-Z40)</f>
        <v>0</v>
      </c>
      <c r="AA36" s="67" t="n">
        <f aca="false">IF(AA$5="A",IF(Assumptions!AA$201&gt;=6,Assumptions!$C$142,0),Z36-AA39-AA40)</f>
        <v>0</v>
      </c>
      <c r="AB36" s="67" t="n">
        <f aca="false">IF(AB$5="A",IF(Assumptions!AB$201&gt;=6,Assumptions!$C$142,0),AA36-AB39-AB40)</f>
        <v>0</v>
      </c>
    </row>
    <row r="37" customFormat="false" ht="15" hidden="false" customHeight="false" outlineLevel="0" collapsed="false">
      <c r="A37" s="27" t="s">
        <v>1309</v>
      </c>
      <c r="B37" s="63"/>
      <c r="C37" s="66" t="n">
        <f aca="false">P37</f>
        <v>161149.158759365</v>
      </c>
      <c r="D37" s="66" t="n">
        <f aca="false">AB37</f>
        <v>180791.977688924</v>
      </c>
      <c r="E37" s="67" t="n">
        <f aca="false">CHOOSE(INT((Assumptions!$C$141+Assumptions!$F$192)/30)+1,E29*(((Assumptions!$C$141+Assumptions!$F$192)-30*INT((Assumptions!$C$141+Assumptions!$F$192)/30))/30),E29+0*(((Assumptions!$C$141+Assumptions!$F$192)-30*INT((Assumptions!$C$141+Assumptions!$F$192)/30))/30),E29+0+0*(((Assumptions!$C$141+Assumptions!$F$192)-30*INT((Assumptions!$C$141+Assumptions!$F$192)/30))/30),E29+0+0+0*(((Assumptions!$C$141+Assumptions!$F$192)-30*INT((Assumptions!$C$141+Assumptions!$F$192)/30))/30))</f>
        <v>121724.457815393</v>
      </c>
      <c r="F37" s="67" t="n">
        <f aca="false">CHOOSE(INT((Assumptions!$C$141+Assumptions!$F$192)/30)+1,F29*(((Assumptions!$C$141+Assumptions!$F$192)-30*INT((Assumptions!$C$141+Assumptions!$F$192)/30))/30),F29+E29*(((Assumptions!$C$141+Assumptions!$F$192)-30*INT((Assumptions!$C$141+Assumptions!$F$192)/30))/30),F29+E29+0*(((Assumptions!$C$141+Assumptions!$F$192)-30*INT((Assumptions!$C$141+Assumptions!$F$192)/30))/30),F29+E29+0+0*(((Assumptions!$C$141+Assumptions!$F$192)-30*INT((Assumptions!$C$141+Assumptions!$F$192)/30))/30))</f>
        <v>182411.273321824</v>
      </c>
      <c r="G37" s="67" t="n">
        <f aca="false">CHOOSE(INT((Assumptions!$C$141+Assumptions!$F$192)/30)+1,G29*(((Assumptions!$C$141+Assumptions!$F$192)-30*INT((Assumptions!$C$141+Assumptions!$F$192)/30))/30),G29+F29*(((Assumptions!$C$141+Assumptions!$F$192)-30*INT((Assumptions!$C$141+Assumptions!$F$192)/30))/30),G29+F29+E29*(((Assumptions!$C$141+Assumptions!$F$192)-30*INT((Assumptions!$C$141+Assumptions!$F$192)/30))/30),G29+F29+E29+0*(((Assumptions!$C$141+Assumptions!$F$192)-30*INT((Assumptions!$C$141+Assumptions!$F$192)/30))/30))</f>
        <v>184277.283656733</v>
      </c>
      <c r="H37" s="67" t="n">
        <f aca="false">CHOOSE(INT((Assumptions!$C$141+Assumptions!$F$192)/30)+1,H29*(((Assumptions!$C$141+Assumptions!$F$192)-30*INT((Assumptions!$C$141+Assumptions!$F$192)/30))/30),H29+G29*(((Assumptions!$C$141+Assumptions!$F$192)-30*INT((Assumptions!$C$141+Assumptions!$F$192)/30))/30),H29+G29+F29*(((Assumptions!$C$141+Assumptions!$F$192)-30*INT((Assumptions!$C$141+Assumptions!$F$192)/30))/30),H29+G29+F29+E29*(((Assumptions!$C$141+Assumptions!$F$192)-30*INT((Assumptions!$C$141+Assumptions!$F$192)/30))/30))</f>
        <v>180533.804545525</v>
      </c>
      <c r="I37" s="67" t="n">
        <f aca="false">CHOOSE(INT((Assumptions!$C$141+Assumptions!$F$192)/30)+1,I29*(((Assumptions!$C$141+Assumptions!$F$192)-30*INT((Assumptions!$C$141+Assumptions!$F$192)/30))/30),I29+H29*(((Assumptions!$C$141+Assumptions!$F$192)-30*INT((Assumptions!$C$141+Assumptions!$F$192)/30))/30),I29+H29+G29*(((Assumptions!$C$141+Assumptions!$F$192)-30*INT((Assumptions!$C$141+Assumptions!$F$192)/30))/30),I29+H29+G29+F29*(((Assumptions!$C$141+Assumptions!$F$192)-30*INT((Assumptions!$C$141+Assumptions!$F$192)/30))/30))</f>
        <v>152960.435293369</v>
      </c>
      <c r="J37" s="67" t="n">
        <f aca="false">CHOOSE(INT((Assumptions!$C$141+Assumptions!$F$192)/30)+1,J29*(((Assumptions!$C$141+Assumptions!$F$192)-30*INT((Assumptions!$C$141+Assumptions!$F$192)/30))/30),J29+I29*(((Assumptions!$C$141+Assumptions!$F$192)-30*INT((Assumptions!$C$141+Assumptions!$F$192)/30))/30),J29+I29+H29*(((Assumptions!$C$141+Assumptions!$F$192)-30*INT((Assumptions!$C$141+Assumptions!$F$192)/30))/30),J29+I29+H29+G29*(((Assumptions!$C$141+Assumptions!$F$192)-30*INT((Assumptions!$C$141+Assumptions!$F$192)/30))/30))</f>
        <v>179569.454990144</v>
      </c>
      <c r="K37" s="67" t="n">
        <f aca="false">CHOOSE(INT((Assumptions!$C$141+Assumptions!$F$192)/30)+1,K29*(((Assumptions!$C$141+Assumptions!$F$192)-30*INT((Assumptions!$C$141+Assumptions!$F$192)/30))/30),K29+J29*(((Assumptions!$C$141+Assumptions!$F$192)-30*INT((Assumptions!$C$141+Assumptions!$F$192)/30))/30),K29+J29+I29*(((Assumptions!$C$141+Assumptions!$F$192)-30*INT((Assumptions!$C$141+Assumptions!$F$192)/30))/30),K29+J29+I29+H29*(((Assumptions!$C$141+Assumptions!$F$192)-30*INT((Assumptions!$C$141+Assumptions!$F$192)/30))/30))</f>
        <v>173124.597882847</v>
      </c>
      <c r="L37" s="67" t="n">
        <f aca="false">CHOOSE(INT((Assumptions!$C$141+Assumptions!$F$192)/30)+1,L29*(((Assumptions!$C$141+Assumptions!$F$192)-30*INT((Assumptions!$C$141+Assumptions!$F$192)/30))/30),L29+K29*(((Assumptions!$C$141+Assumptions!$F$192)-30*INT((Assumptions!$C$141+Assumptions!$F$192)/30))/30),L29+K29+J29*(((Assumptions!$C$141+Assumptions!$F$192)-30*INT((Assumptions!$C$141+Assumptions!$F$192)/30))/30),L29+K29+J29+I29*(((Assumptions!$C$141+Assumptions!$F$192)-30*INT((Assumptions!$C$141+Assumptions!$F$192)/30))/30))</f>
        <v>135242.930258018</v>
      </c>
      <c r="M37" s="67" t="n">
        <f aca="false">CHOOSE(INT((Assumptions!$C$141+Assumptions!$F$192)/30)+1,M29*(((Assumptions!$C$141+Assumptions!$F$192)-30*INT((Assumptions!$C$141+Assumptions!$F$192)/30))/30),M29+L29*(((Assumptions!$C$141+Assumptions!$F$192)-30*INT((Assumptions!$C$141+Assumptions!$F$192)/30))/30),M29+L29+K29*(((Assumptions!$C$141+Assumptions!$F$192)-30*INT((Assumptions!$C$141+Assumptions!$F$192)/30))/30),M29+L29+K29+J29*(((Assumptions!$C$141+Assumptions!$F$192)-30*INT((Assumptions!$C$141+Assumptions!$F$192)/30))/30))</f>
        <v>148499.416885455</v>
      </c>
      <c r="N37" s="67" t="n">
        <f aca="false">CHOOSE(INT((Assumptions!$C$141+Assumptions!$F$192)/30)+1,N29*(((Assumptions!$C$141+Assumptions!$F$192)-30*INT((Assumptions!$C$141+Assumptions!$F$192)/30))/30),N29+M29*(((Assumptions!$C$141+Assumptions!$F$192)-30*INT((Assumptions!$C$141+Assumptions!$F$192)/30))/30),N29+M29+L29*(((Assumptions!$C$141+Assumptions!$F$192)-30*INT((Assumptions!$C$141+Assumptions!$F$192)/30))/30),N29+M29+L29+K29*(((Assumptions!$C$141+Assumptions!$F$192)-30*INT((Assumptions!$C$141+Assumptions!$F$192)/30))/30))</f>
        <v>169755.17417169</v>
      </c>
      <c r="O37" s="67" t="n">
        <f aca="false">CHOOSE(INT((Assumptions!$C$141+Assumptions!$F$192)/30)+1,O29*(((Assumptions!$C$141+Assumptions!$F$192)-30*INT((Assumptions!$C$141+Assumptions!$F$192)/30))/30),O29+N29*(((Assumptions!$C$141+Assumptions!$F$192)-30*INT((Assumptions!$C$141+Assumptions!$F$192)/30))/30),O29+N29+M29*(((Assumptions!$C$141+Assumptions!$F$192)-30*INT((Assumptions!$C$141+Assumptions!$F$192)/30))/30),O29+N29+M29+L29*(((Assumptions!$C$141+Assumptions!$F$192)-30*INT((Assumptions!$C$141+Assumptions!$F$192)/30))/30))</f>
        <v>165253.747813134</v>
      </c>
      <c r="P37" s="67" t="n">
        <f aca="false">CHOOSE(INT((Assumptions!$C$141+Assumptions!$F$192)/30)+1,P29*(((Assumptions!$C$141+Assumptions!$F$192)-30*INT((Assumptions!$C$141+Assumptions!$F$192)/30))/30),P29+O29*(((Assumptions!$C$141+Assumptions!$F$192)-30*INT((Assumptions!$C$141+Assumptions!$F$192)/30))/30),P29+O29+N29*(((Assumptions!$C$141+Assumptions!$F$192)-30*INT((Assumptions!$C$141+Assumptions!$F$192)/30))/30),P29+O29+N29+M29*(((Assumptions!$C$141+Assumptions!$F$192)-30*INT((Assumptions!$C$141+Assumptions!$F$192)/30))/30))</f>
        <v>161149.158759365</v>
      </c>
      <c r="Q37" s="67" t="n">
        <f aca="false">CHOOSE(INT((Assumptions!$C$141+Assumptions!$F$192)/30)+1,Q29*(((Assumptions!$C$141+Assumptions!$F$192)-30*INT((Assumptions!$C$141+Assumptions!$F$192)/30))/30),Q29+P29*(((Assumptions!$C$141+Assumptions!$F$192)-30*INT((Assumptions!$C$141+Assumptions!$F$192)/30))/30),Q29+P29+O29*(((Assumptions!$C$141+Assumptions!$F$192)-30*INT((Assumptions!$C$141+Assumptions!$F$192)/30))/30),Q29+P29+O29+N29*(((Assumptions!$C$141+Assumptions!$F$192)-30*INT((Assumptions!$C$141+Assumptions!$F$192)/30))/30))</f>
        <v>185363.046463974</v>
      </c>
      <c r="R37" s="67" t="n">
        <f aca="false">CHOOSE(INT((Assumptions!$C$141+Assumptions!$F$192)/30)+1,R29*(((Assumptions!$C$141+Assumptions!$F$192)-30*INT((Assumptions!$C$141+Assumptions!$F$192)/30))/30),R29+Q29*(((Assumptions!$C$141+Assumptions!$F$192)-30*INT((Assumptions!$C$141+Assumptions!$F$192)/30))/30),R29+Q29+P29*(((Assumptions!$C$141+Assumptions!$F$192)-30*INT((Assumptions!$C$141+Assumptions!$F$192)/30))/30),R29+Q29+P29+O29*(((Assumptions!$C$141+Assumptions!$F$192)-30*INT((Assumptions!$C$141+Assumptions!$F$192)/30))/30))</f>
        <v>181544.015563374</v>
      </c>
      <c r="S37" s="67" t="n">
        <f aca="false">CHOOSE(INT((Assumptions!$C$141+Assumptions!$F$192)/30)+1,S29*(((Assumptions!$C$141+Assumptions!$F$192)-30*INT((Assumptions!$C$141+Assumptions!$F$192)/30))/30),S29+R29*(((Assumptions!$C$141+Assumptions!$F$192)-30*INT((Assumptions!$C$141+Assumptions!$F$192)/30))/30),S29+R29+Q29*(((Assumptions!$C$141+Assumptions!$F$192)-30*INT((Assumptions!$C$141+Assumptions!$F$192)/30))/30),S29+R29+Q29+P29*(((Assumptions!$C$141+Assumptions!$F$192)-30*INT((Assumptions!$C$141+Assumptions!$F$192)/30))/30))</f>
        <v>167538.063685028</v>
      </c>
      <c r="T37" s="67" t="n">
        <f aca="false">CHOOSE(INT((Assumptions!$C$141+Assumptions!$F$192)/30)+1,T29*(((Assumptions!$C$141+Assumptions!$F$192)-30*INT((Assumptions!$C$141+Assumptions!$F$192)/30))/30),T29+S29*(((Assumptions!$C$141+Assumptions!$F$192)-30*INT((Assumptions!$C$141+Assumptions!$F$192)/30))/30),T29+S29+R29*(((Assumptions!$C$141+Assumptions!$F$192)-30*INT((Assumptions!$C$141+Assumptions!$F$192)/30))/30),T29+S29+R29+Q29*(((Assumptions!$C$141+Assumptions!$F$192)-30*INT((Assumptions!$C$141+Assumptions!$F$192)/30))/30))</f>
        <v>173004.288548581</v>
      </c>
      <c r="U37" s="67" t="n">
        <f aca="false">CHOOSE(INT((Assumptions!$C$141+Assumptions!$F$192)/30)+1,U29*(((Assumptions!$C$141+Assumptions!$F$192)-30*INT((Assumptions!$C$141+Assumptions!$F$192)/30))/30),U29+T29*(((Assumptions!$C$141+Assumptions!$F$192)-30*INT((Assumptions!$C$141+Assumptions!$F$192)/30))/30),U29+T29+S29*(((Assumptions!$C$141+Assumptions!$F$192)-30*INT((Assumptions!$C$141+Assumptions!$F$192)/30))/30),U29+T29+S29+R29*(((Assumptions!$C$141+Assumptions!$F$192)-30*INT((Assumptions!$C$141+Assumptions!$F$192)/30))/30))</f>
        <v>171698.711435472</v>
      </c>
      <c r="V37" s="67" t="n">
        <f aca="false">CHOOSE(INT((Assumptions!$C$141+Assumptions!$F$192)/30)+1,V29*(((Assumptions!$C$141+Assumptions!$F$192)-30*INT((Assumptions!$C$141+Assumptions!$F$192)/30))/30),V29+U29*(((Assumptions!$C$141+Assumptions!$F$192)-30*INT((Assumptions!$C$141+Assumptions!$F$192)/30))/30),V29+U29+T29*(((Assumptions!$C$141+Assumptions!$F$192)-30*INT((Assumptions!$C$141+Assumptions!$F$192)/30))/30),V29+U29+T29+S29*(((Assumptions!$C$141+Assumptions!$F$192)-30*INT((Assumptions!$C$141+Assumptions!$F$192)/30))/30))</f>
        <v>176463.709869447</v>
      </c>
      <c r="W37" s="67" t="n">
        <f aca="false">CHOOSE(INT((Assumptions!$C$141+Assumptions!$F$192)/30)+1,W29*(((Assumptions!$C$141+Assumptions!$F$192)-30*INT((Assumptions!$C$141+Assumptions!$F$192)/30))/30),W29+V29*(((Assumptions!$C$141+Assumptions!$F$192)-30*INT((Assumptions!$C$141+Assumptions!$F$192)/30))/30),W29+V29+U29*(((Assumptions!$C$141+Assumptions!$F$192)-30*INT((Assumptions!$C$141+Assumptions!$F$192)/30))/30),W29+V29+U29+T29*(((Assumptions!$C$141+Assumptions!$F$192)-30*INT((Assumptions!$C$141+Assumptions!$F$192)/30))/30))</f>
        <v>172844.270393787</v>
      </c>
      <c r="X37" s="67" t="n">
        <f aca="false">CHOOSE(INT((Assumptions!$C$141+Assumptions!$F$192)/30)+1,X29*(((Assumptions!$C$141+Assumptions!$F$192)-30*INT((Assumptions!$C$141+Assumptions!$F$192)/30))/30),X29+W29*(((Assumptions!$C$141+Assumptions!$F$192)-30*INT((Assumptions!$C$141+Assumptions!$F$192)/30))/30),X29+W29+V29*(((Assumptions!$C$141+Assumptions!$F$192)-30*INT((Assumptions!$C$141+Assumptions!$F$192)/30))/30),X29+W29+V29+U29*(((Assumptions!$C$141+Assumptions!$F$192)-30*INT((Assumptions!$C$141+Assumptions!$F$192)/30))/30))</f>
        <v>151155.232363671</v>
      </c>
      <c r="Y37" s="67" t="n">
        <f aca="false">CHOOSE(INT((Assumptions!$C$141+Assumptions!$F$192)/30)+1,Y29*(((Assumptions!$C$141+Assumptions!$F$192)-30*INT((Assumptions!$C$141+Assumptions!$F$192)/30))/30),Y29+X29*(((Assumptions!$C$141+Assumptions!$F$192)-30*INT((Assumptions!$C$141+Assumptions!$F$192)/30))/30),Y29+X29+W29*(((Assumptions!$C$141+Assumptions!$F$192)-30*INT((Assumptions!$C$141+Assumptions!$F$192)/30))/30),Y29+X29+W29+V29*(((Assumptions!$C$141+Assumptions!$F$192)-30*INT((Assumptions!$C$141+Assumptions!$F$192)/30))/30))</f>
        <v>164082.085349335</v>
      </c>
      <c r="Z37" s="67" t="n">
        <f aca="false">CHOOSE(INT((Assumptions!$C$141+Assumptions!$F$192)/30)+1,Z29*(((Assumptions!$C$141+Assumptions!$F$192)-30*INT((Assumptions!$C$141+Assumptions!$F$192)/30))/30),Z29+Y29*(((Assumptions!$C$141+Assumptions!$F$192)-30*INT((Assumptions!$C$141+Assumptions!$F$192)/30))/30),Z29+Y29+X29*(((Assumptions!$C$141+Assumptions!$F$192)-30*INT((Assumptions!$C$141+Assumptions!$F$192)/30))/30),Z29+Y29+X29+W29*(((Assumptions!$C$141+Assumptions!$F$192)-30*INT((Assumptions!$C$141+Assumptions!$F$192)/30))/30))</f>
        <v>188775.458057075</v>
      </c>
      <c r="AA37" s="67" t="n">
        <f aca="false">CHOOSE(INT((Assumptions!$C$141+Assumptions!$F$192)/30)+1,AA29*(((Assumptions!$C$141+Assumptions!$F$192)-30*INT((Assumptions!$C$141+Assumptions!$F$192)/30))/30),AA29+Z29*(((Assumptions!$C$141+Assumptions!$F$192)-30*INT((Assumptions!$C$141+Assumptions!$F$192)/30))/30),AA29+Z29+Y29*(((Assumptions!$C$141+Assumptions!$F$192)-30*INT((Assumptions!$C$141+Assumptions!$F$192)/30))/30),AA29+Z29+Y29+X29*(((Assumptions!$C$141+Assumptions!$F$192)-30*INT((Assumptions!$C$141+Assumptions!$F$192)/30))/30))</f>
        <v>186128.544770814</v>
      </c>
      <c r="AB37" s="67" t="n">
        <f aca="false">CHOOSE(INT((Assumptions!$C$141+Assumptions!$F$192)/30)+1,AB29*(((Assumptions!$C$141+Assumptions!$F$192)-30*INT((Assumptions!$C$141+Assumptions!$F$192)/30))/30),AB29+AA29*(((Assumptions!$C$141+Assumptions!$F$192)-30*INT((Assumptions!$C$141+Assumptions!$F$192)/30))/30),AB29+AA29+Z29*(((Assumptions!$C$141+Assumptions!$F$192)-30*INT((Assumptions!$C$141+Assumptions!$F$192)/30))/30),AB29+AA29+Z29+Y29*(((Assumptions!$C$141+Assumptions!$F$192)-30*INT((Assumptions!$C$141+Assumptions!$F$192)/30))/30))</f>
        <v>180791.977688924</v>
      </c>
    </row>
    <row r="38" customFormat="false" ht="15" hidden="false" customHeight="false" outlineLevel="0" collapsed="false">
      <c r="A38" s="27" t="s">
        <v>1310</v>
      </c>
      <c r="B38" s="63" t="s">
        <v>1311</v>
      </c>
      <c r="C38" s="66" t="n">
        <f aca="false">SUM(E38:P38)</f>
        <v>1116587.52143914</v>
      </c>
      <c r="D38" s="66" t="n">
        <f aca="false">SUM(Q38:AB38)</f>
        <v>1130293.95383806</v>
      </c>
      <c r="E38" s="67" t="n">
        <f aca="false">IF(E$5="A",Inputs_Actuals!E258,Inputs_Actuals!$C$280-0+E29-E37)</f>
        <v>105400.15</v>
      </c>
      <c r="F38" s="67" t="n">
        <f aca="false">IF(F$5="A",Inputs_Actuals!F258,E42-E36+F29-F37)</f>
        <v>108208.67</v>
      </c>
      <c r="G38" s="67" t="n">
        <f aca="false">IF(G$5="A",Inputs_Actuals!G258,F42-F36+G29-G37)</f>
        <v>114932.76</v>
      </c>
      <c r="H38" s="67" t="n">
        <f aca="false">IF(H$5="A",Inputs_Actuals!H258,G42-G36+H29-H37)</f>
        <v>86944.98</v>
      </c>
      <c r="I38" s="67" t="n">
        <f aca="false">IF(I$5="A",Inputs_Actuals!I258,H42-H36+I29-I37)</f>
        <v>111199.22</v>
      </c>
      <c r="J38" s="67" t="n">
        <f aca="false">IF(J$5="A",Inputs_Actuals!J258,I42-I36+J29-J37)</f>
        <v>83272.23</v>
      </c>
      <c r="K38" s="67" t="n">
        <f aca="false">IF(K$5="A",Inputs_Actuals!K258,J42-J36+K29-K37)</f>
        <v>84401.75</v>
      </c>
      <c r="L38" s="67" t="n">
        <f aca="false">IF(L$5="A",Inputs_Actuals!L258,K42-K36+L29-L37)</f>
        <v>87160.52</v>
      </c>
      <c r="M38" s="67" t="n">
        <f aca="false">IF(M$5="A",Inputs_Actuals!M258,L42-L36+M29-M37)</f>
        <v>79177.2092035484</v>
      </c>
      <c r="N38" s="67" t="n">
        <f aca="false">IF(N$5="A",Inputs_Actuals!N258,M42-M36+N29-N37)</f>
        <v>71471.3287049248</v>
      </c>
      <c r="O38" s="67" t="n">
        <f aca="false">IF(O$5="A",Inputs_Actuals!O258,N42-N36+O29-O37)</f>
        <v>92482.6025123903</v>
      </c>
      <c r="P38" s="67" t="n">
        <f aca="false">IF(P$5="A",Inputs_Actuals!P258,O42-O36+P29-P37)</f>
        <v>91936.1010182725</v>
      </c>
      <c r="Q38" s="67" t="n">
        <f aca="false">IF(Q$5="A",Inputs_Actuals!Q258,P42-P36+Q29-Q37)</f>
        <v>87956.2321222791</v>
      </c>
      <c r="R38" s="67" t="n">
        <f aca="false">IF(R$5="A",Inputs_Actuals!R258,Q42-Q36+R29-R37)</f>
        <v>91887.9466082335</v>
      </c>
      <c r="S38" s="67" t="n">
        <f aca="false">IF(S$5="A",Inputs_Actuals!S258,R42-R36+S29-S37)</f>
        <v>108153.252473679</v>
      </c>
      <c r="T38" s="67" t="n">
        <f aca="false">IF(T$5="A",Inputs_Actuals!T258,S42-S36+T29-T37)</f>
        <v>89081.979855584</v>
      </c>
      <c r="U38" s="67" t="n">
        <f aca="false">IF(U$5="A",Inputs_Actuals!U258,T42-T36+U29-U37)</f>
        <v>94214.1179492999</v>
      </c>
      <c r="V38" s="67" t="n">
        <f aca="false">IF(V$5="A",Inputs_Actuals!V258,U42-U36+V29-V37)</f>
        <v>94274.9274053127</v>
      </c>
      <c r="W38" s="67" t="n">
        <f aca="false">IF(W$5="A",Inputs_Actuals!W258,V42-V36+W29-W37)</f>
        <v>93930.4383367071</v>
      </c>
      <c r="X38" s="67" t="n">
        <f aca="false">IF(X$5="A",Inputs_Actuals!X258,W42-W36+X29-X37)</f>
        <v>97585.1046762476</v>
      </c>
      <c r="Y38" s="67" t="n">
        <f aca="false">IF(Y$5="A",Inputs_Actuals!Y258,X42-X36+Y29-Y37)</f>
        <v>87908.5101585615</v>
      </c>
      <c r="Z38" s="67" t="n">
        <f aca="false">IF(Z$5="A",Inputs_Actuals!Z258,Y42-Y36+Z29-Z37)</f>
        <v>80052.6160624801</v>
      </c>
      <c r="AA38" s="67" t="n">
        <f aca="false">IF(AA$5="A",Inputs_Actuals!AA258,Z42-Z36+AA29-AA37)</f>
        <v>101487.134081892</v>
      </c>
      <c r="AB38" s="67" t="n">
        <f aca="false">IF(AB$5="A",Inputs_Actuals!AB258,AA42-AA36+AB29-AB37)</f>
        <v>103761.694107788</v>
      </c>
    </row>
    <row r="39" customFormat="false" ht="15" hidden="false" customHeight="false" outlineLevel="0" collapsed="false">
      <c r="A39" s="27" t="s">
        <v>1312</v>
      </c>
      <c r="B39" s="63" t="s">
        <v>1313</v>
      </c>
      <c r="C39" s="66" t="n">
        <f aca="false">SUM(E39:P39)</f>
        <v>21600</v>
      </c>
      <c r="D39" s="66" t="n">
        <f aca="false">SUM(Q39:AB39)</f>
        <v>0</v>
      </c>
      <c r="E39" s="67" t="n">
        <f aca="false">IF(E$5="A",0,IF(Assumptions!E$200=Assumptions!$F$196,Assumptions!$C$142*(1-Assumptions!$F$197),0))</f>
        <v>0</v>
      </c>
      <c r="F39" s="67" t="n">
        <f aca="false">IF(F$5="A",0,IF(Assumptions!F$200=Assumptions!$F$196,Assumptions!$C$142*(1-Assumptions!$F$197),0))</f>
        <v>0</v>
      </c>
      <c r="G39" s="67" t="n">
        <f aca="false">IF(G$5="A",0,IF(Assumptions!G$200=Assumptions!$F$196,Assumptions!$C$142*(1-Assumptions!$F$197),0))</f>
        <v>0</v>
      </c>
      <c r="H39" s="67" t="n">
        <f aca="false">IF(H$5="A",0,IF(Assumptions!H$200=Assumptions!$F$196,Assumptions!$C$142*(1-Assumptions!$F$197),0))</f>
        <v>0</v>
      </c>
      <c r="I39" s="67" t="n">
        <f aca="false">IF(I$5="A",0,IF(Assumptions!I$200=Assumptions!$F$196,Assumptions!$C$142*(1-Assumptions!$F$197),0))</f>
        <v>0</v>
      </c>
      <c r="J39" s="67" t="n">
        <f aca="false">IF(J$5="A",0,IF(Assumptions!J$200=Assumptions!$F$196,Assumptions!$C$142*(1-Assumptions!$F$197),0))</f>
        <v>0</v>
      </c>
      <c r="K39" s="67" t="n">
        <f aca="false">IF(K$5="A",0,IF(Assumptions!K$200=Assumptions!$F$196,Assumptions!$C$142*(1-Assumptions!$F$197),0))</f>
        <v>0</v>
      </c>
      <c r="L39" s="67" t="n">
        <f aca="false">IF(L$5="A",0,IF(Assumptions!L$200=Assumptions!$F$196,Assumptions!$C$142*(1-Assumptions!$F$197),0))</f>
        <v>0</v>
      </c>
      <c r="M39" s="67" t="n">
        <f aca="false">IF(M$5="A",0,IF(Assumptions!M$200=Assumptions!$F$196,Assumptions!$C$142*(1-Assumptions!$F$197),0))</f>
        <v>0</v>
      </c>
      <c r="N39" s="67" t="n">
        <f aca="false">IF(N$5="A",0,IF(Assumptions!N$200=Assumptions!$F$196,Assumptions!$C$142*(1-Assumptions!$F$197),0))</f>
        <v>21600</v>
      </c>
      <c r="O39" s="67" t="n">
        <f aca="false">IF(O$5="A",0,IF(Assumptions!O$200=Assumptions!$F$196,Assumptions!$C$142*(1-Assumptions!$F$197),0))</f>
        <v>0</v>
      </c>
      <c r="P39" s="67" t="n">
        <f aca="false">IF(P$5="A",0,IF(Assumptions!P$200=Assumptions!$F$196,Assumptions!$C$142*(1-Assumptions!$F$197),0))</f>
        <v>0</v>
      </c>
      <c r="Q39" s="67" t="n">
        <f aca="false">IF(Q$5="A",0,IF(Assumptions!Q$200=Assumptions!$F$196,Assumptions!$C$142*(1-Assumptions!$F$197),0))</f>
        <v>0</v>
      </c>
      <c r="R39" s="67" t="n">
        <f aca="false">IF(R$5="A",0,IF(Assumptions!R$200=Assumptions!$F$196,Assumptions!$C$142*(1-Assumptions!$F$197),0))</f>
        <v>0</v>
      </c>
      <c r="S39" s="67" t="n">
        <f aca="false">IF(S$5="A",0,IF(Assumptions!S$200=Assumptions!$F$196,Assumptions!$C$142*(1-Assumptions!$F$197),0))</f>
        <v>0</v>
      </c>
      <c r="T39" s="67" t="n">
        <f aca="false">IF(T$5="A",0,IF(Assumptions!T$200=Assumptions!$F$196,Assumptions!$C$142*(1-Assumptions!$F$197),0))</f>
        <v>0</v>
      </c>
      <c r="U39" s="67" t="n">
        <f aca="false">IF(U$5="A",0,IF(Assumptions!U$200=Assumptions!$F$196,Assumptions!$C$142*(1-Assumptions!$F$197),0))</f>
        <v>0</v>
      </c>
      <c r="V39" s="67" t="n">
        <f aca="false">IF(V$5="A",0,IF(Assumptions!V$200=Assumptions!$F$196,Assumptions!$C$142*(1-Assumptions!$F$197),0))</f>
        <v>0</v>
      </c>
      <c r="W39" s="67" t="n">
        <f aca="false">IF(W$5="A",0,IF(Assumptions!W$200=Assumptions!$F$196,Assumptions!$C$142*(1-Assumptions!$F$197),0))</f>
        <v>0</v>
      </c>
      <c r="X39" s="67" t="n">
        <f aca="false">IF(X$5="A",0,IF(Assumptions!X$200=Assumptions!$F$196,Assumptions!$C$142*(1-Assumptions!$F$197),0))</f>
        <v>0</v>
      </c>
      <c r="Y39" s="67" t="n">
        <f aca="false">IF(Y$5="A",0,IF(Assumptions!Y$200=Assumptions!$F$196,Assumptions!$C$142*(1-Assumptions!$F$197),0))</f>
        <v>0</v>
      </c>
      <c r="Z39" s="67" t="n">
        <f aca="false">IF(Z$5="A",0,IF(Assumptions!Z$200=Assumptions!$F$196,Assumptions!$C$142*(1-Assumptions!$F$197),0))</f>
        <v>0</v>
      </c>
      <c r="AA39" s="67" t="n">
        <f aca="false">IF(AA$5="A",0,IF(Assumptions!AA$200=Assumptions!$F$196,Assumptions!$C$142*(1-Assumptions!$F$197),0))</f>
        <v>0</v>
      </c>
      <c r="AB39" s="67" t="n">
        <f aca="false">IF(AB$5="A",0,IF(Assumptions!AB$200=Assumptions!$F$196,Assumptions!$C$142*(1-Assumptions!$F$197),0))</f>
        <v>0</v>
      </c>
    </row>
    <row r="40" customFormat="false" ht="15" hidden="false" customHeight="false" outlineLevel="0" collapsed="false">
      <c r="A40" s="27" t="s">
        <v>1314</v>
      </c>
      <c r="B40" s="63"/>
      <c r="C40" s="66" t="n">
        <f aca="false">SUM(E40:P40)</f>
        <v>0</v>
      </c>
      <c r="D40" s="66" t="n">
        <f aca="false">SUM(Q40:AB40)</f>
        <v>0</v>
      </c>
      <c r="E40" s="67" t="n">
        <f aca="false">IF(E$5="A",0,IF(Assumptions!E$200=Assumptions!$F$196,Assumptions!$C$142*Assumptions!$F$197,0))</f>
        <v>0</v>
      </c>
      <c r="F40" s="67" t="n">
        <f aca="false">IF(F$5="A",0,IF(Assumptions!F$200=Assumptions!$F$196,Assumptions!$C$142*Assumptions!$F$197,0))</f>
        <v>0</v>
      </c>
      <c r="G40" s="67" t="n">
        <f aca="false">IF(G$5="A",0,IF(Assumptions!G$200=Assumptions!$F$196,Assumptions!$C$142*Assumptions!$F$197,0))</f>
        <v>0</v>
      </c>
      <c r="H40" s="67" t="n">
        <f aca="false">IF(H$5="A",0,IF(Assumptions!H$200=Assumptions!$F$196,Assumptions!$C$142*Assumptions!$F$197,0))</f>
        <v>0</v>
      </c>
      <c r="I40" s="67" t="n">
        <f aca="false">IF(I$5="A",0,IF(Assumptions!I$200=Assumptions!$F$196,Assumptions!$C$142*Assumptions!$F$197,0))</f>
        <v>0</v>
      </c>
      <c r="J40" s="67" t="n">
        <f aca="false">IF(J$5="A",0,IF(Assumptions!J$200=Assumptions!$F$196,Assumptions!$C$142*Assumptions!$F$197,0))</f>
        <v>0</v>
      </c>
      <c r="K40" s="67" t="n">
        <f aca="false">IF(K$5="A",0,IF(Assumptions!K$200=Assumptions!$F$196,Assumptions!$C$142*Assumptions!$F$197,0))</f>
        <v>0</v>
      </c>
      <c r="L40" s="67" t="n">
        <f aca="false">IF(L$5="A",0,IF(Assumptions!L$200=Assumptions!$F$196,Assumptions!$C$142*Assumptions!$F$197,0))</f>
        <v>0</v>
      </c>
      <c r="M40" s="67" t="n">
        <f aca="false">IF(M$5="A",0,IF(Assumptions!M$200=Assumptions!$F$196,Assumptions!$C$142*Assumptions!$F$197,0))</f>
        <v>0</v>
      </c>
      <c r="N40" s="67" t="n">
        <f aca="false">IF(N$5="A",0,IF(Assumptions!N$200=Assumptions!$F$196,Assumptions!$C$142*Assumptions!$F$197,0))</f>
        <v>0</v>
      </c>
      <c r="O40" s="67" t="n">
        <f aca="false">IF(O$5="A",0,IF(Assumptions!O$200=Assumptions!$F$196,Assumptions!$C$142*Assumptions!$F$197,0))</f>
        <v>0</v>
      </c>
      <c r="P40" s="67" t="n">
        <f aca="false">IF(P$5="A",0,IF(Assumptions!P$200=Assumptions!$F$196,Assumptions!$C$142*Assumptions!$F$197,0))</f>
        <v>0</v>
      </c>
      <c r="Q40" s="67" t="n">
        <f aca="false">IF(Q$5="A",0,IF(Assumptions!Q$200=Assumptions!$F$196,Assumptions!$C$142*Assumptions!$F$197,0))</f>
        <v>0</v>
      </c>
      <c r="R40" s="67" t="n">
        <f aca="false">IF(R$5="A",0,IF(Assumptions!R$200=Assumptions!$F$196,Assumptions!$C$142*Assumptions!$F$197,0))</f>
        <v>0</v>
      </c>
      <c r="S40" s="67" t="n">
        <f aca="false">IF(S$5="A",0,IF(Assumptions!S$200=Assumptions!$F$196,Assumptions!$C$142*Assumptions!$F$197,0))</f>
        <v>0</v>
      </c>
      <c r="T40" s="67" t="n">
        <f aca="false">IF(T$5="A",0,IF(Assumptions!T$200=Assumptions!$F$196,Assumptions!$C$142*Assumptions!$F$197,0))</f>
        <v>0</v>
      </c>
      <c r="U40" s="67" t="n">
        <f aca="false">IF(U$5="A",0,IF(Assumptions!U$200=Assumptions!$F$196,Assumptions!$C$142*Assumptions!$F$197,0))</f>
        <v>0</v>
      </c>
      <c r="V40" s="67" t="n">
        <f aca="false">IF(V$5="A",0,IF(Assumptions!V$200=Assumptions!$F$196,Assumptions!$C$142*Assumptions!$F$197,0))</f>
        <v>0</v>
      </c>
      <c r="W40" s="67" t="n">
        <f aca="false">IF(W$5="A",0,IF(Assumptions!W$200=Assumptions!$F$196,Assumptions!$C$142*Assumptions!$F$197,0))</f>
        <v>0</v>
      </c>
      <c r="X40" s="67" t="n">
        <f aca="false">IF(X$5="A",0,IF(Assumptions!X$200=Assumptions!$F$196,Assumptions!$C$142*Assumptions!$F$197,0))</f>
        <v>0</v>
      </c>
      <c r="Y40" s="67" t="n">
        <f aca="false">IF(Y$5="A",0,IF(Assumptions!Y$200=Assumptions!$F$196,Assumptions!$C$142*Assumptions!$F$197,0))</f>
        <v>0</v>
      </c>
      <c r="Z40" s="67" t="n">
        <f aca="false">IF(Z$5="A",0,IF(Assumptions!Z$200=Assumptions!$F$196,Assumptions!$C$142*Assumptions!$F$197,0))</f>
        <v>0</v>
      </c>
      <c r="AA40" s="67" t="n">
        <f aca="false">IF(AA$5="A",0,IF(Assumptions!AA$200=Assumptions!$F$196,Assumptions!$C$142*Assumptions!$F$197,0))</f>
        <v>0</v>
      </c>
      <c r="AB40" s="67" t="n">
        <f aca="false">IF(AB$5="A",0,IF(Assumptions!AB$200=Assumptions!$F$196,Assumptions!$C$142*Assumptions!$F$197,0))</f>
        <v>0</v>
      </c>
    </row>
    <row r="41" customFormat="false" ht="15" hidden="false" customHeight="false" outlineLevel="0" collapsed="false">
      <c r="A41" s="27" t="s">
        <v>1302</v>
      </c>
      <c r="B41" s="63"/>
      <c r="C41" s="66" t="n">
        <f aca="false">SUM(E41:P41)</f>
        <v>1138187.52143914</v>
      </c>
      <c r="D41" s="66" t="n">
        <f aca="false">SUM(Q41:AB41)</f>
        <v>1130293.95383806</v>
      </c>
      <c r="E41" s="76" t="n">
        <f aca="false">E38+E39</f>
        <v>105400.15</v>
      </c>
      <c r="F41" s="76" t="n">
        <f aca="false">F38+F39</f>
        <v>108208.67</v>
      </c>
      <c r="G41" s="76" t="n">
        <f aca="false">G38+G39</f>
        <v>114932.76</v>
      </c>
      <c r="H41" s="76" t="n">
        <f aca="false">H38+H39</f>
        <v>86944.98</v>
      </c>
      <c r="I41" s="76" t="n">
        <f aca="false">I38+I39</f>
        <v>111199.22</v>
      </c>
      <c r="J41" s="76" t="n">
        <f aca="false">J38+J39</f>
        <v>83272.23</v>
      </c>
      <c r="K41" s="76" t="n">
        <f aca="false">K38+K39</f>
        <v>84401.75</v>
      </c>
      <c r="L41" s="76" t="n">
        <f aca="false">L38+L39</f>
        <v>87160.52</v>
      </c>
      <c r="M41" s="76" t="n">
        <f aca="false">M38+M39</f>
        <v>79177.2092035484</v>
      </c>
      <c r="N41" s="76" t="n">
        <f aca="false">N38+N39</f>
        <v>93071.3287049248</v>
      </c>
      <c r="O41" s="76" t="n">
        <f aca="false">O38+O39</f>
        <v>92482.6025123903</v>
      </c>
      <c r="P41" s="76" t="n">
        <f aca="false">P38+P39</f>
        <v>91936.1010182725</v>
      </c>
      <c r="Q41" s="76" t="n">
        <f aca="false">Q38+Q39</f>
        <v>87956.2321222791</v>
      </c>
      <c r="R41" s="76" t="n">
        <f aca="false">R38+R39</f>
        <v>91887.9466082335</v>
      </c>
      <c r="S41" s="76" t="n">
        <f aca="false">S38+S39</f>
        <v>108153.252473679</v>
      </c>
      <c r="T41" s="76" t="n">
        <f aca="false">T38+T39</f>
        <v>89081.979855584</v>
      </c>
      <c r="U41" s="76" t="n">
        <f aca="false">U38+U39</f>
        <v>94214.1179492999</v>
      </c>
      <c r="V41" s="76" t="n">
        <f aca="false">V38+V39</f>
        <v>94274.9274053127</v>
      </c>
      <c r="W41" s="76" t="n">
        <f aca="false">W38+W39</f>
        <v>93930.4383367071</v>
      </c>
      <c r="X41" s="76" t="n">
        <f aca="false">X38+X39</f>
        <v>97585.1046762476</v>
      </c>
      <c r="Y41" s="76" t="n">
        <f aca="false">Y38+Y39</f>
        <v>87908.5101585615</v>
      </c>
      <c r="Z41" s="76" t="n">
        <f aca="false">Z38+Z39</f>
        <v>80052.6160624801</v>
      </c>
      <c r="AA41" s="76" t="n">
        <f aca="false">AA38+AA39</f>
        <v>101487.134081892</v>
      </c>
      <c r="AB41" s="76" t="n">
        <f aca="false">AB38+AB39</f>
        <v>103761.694107788</v>
      </c>
    </row>
    <row r="42" customFormat="false" ht="15" hidden="false" customHeight="false" outlineLevel="0" collapsed="false">
      <c r="A42" s="59" t="s">
        <v>1306</v>
      </c>
      <c r="B42" s="60" t="s">
        <v>1315</v>
      </c>
      <c r="C42" s="61" t="n">
        <f aca="false">P42</f>
        <v>161149.158759365</v>
      </c>
      <c r="D42" s="61" t="n">
        <f aca="false">AB42</f>
        <v>180791.977688924</v>
      </c>
      <c r="E42" s="62" t="n">
        <f aca="false">Inputs_Actuals!$C$280+E29-E41-E40</f>
        <v>209645.717815393</v>
      </c>
      <c r="F42" s="61" t="n">
        <f aca="false">E42+F29-F41-F40</f>
        <v>182411.272957723</v>
      </c>
      <c r="G42" s="61" t="n">
        <f aca="false">F42+G29-G41-G40</f>
        <v>184277.275662514</v>
      </c>
      <c r="H42" s="61" t="n">
        <f aca="false">G42+H29-H41-H40</f>
        <v>180533.797954047</v>
      </c>
      <c r="I42" s="61" t="n">
        <f aca="false">H42+I29-I41-I40</f>
        <v>152960.428004472</v>
      </c>
      <c r="J42" s="61" t="n">
        <f aca="false">I42+J29-J41-J40</f>
        <v>179569.444619262</v>
      </c>
      <c r="K42" s="61" t="n">
        <f aca="false">J42+K29-K41-K40</f>
        <v>176724.586989785</v>
      </c>
      <c r="L42" s="61" t="n">
        <f aca="false">K42+L29-L41-L40</f>
        <v>156842.920272367</v>
      </c>
      <c r="M42" s="61" t="n">
        <f aca="false">L42+M29-M41-M40</f>
        <v>170099.416885455</v>
      </c>
      <c r="N42" s="61" t="n">
        <f aca="false">M42+N29-N41-N40</f>
        <v>169755.17417169</v>
      </c>
      <c r="O42" s="61" t="n">
        <f aca="false">N42+O29-O41-O40</f>
        <v>165253.747813134</v>
      </c>
      <c r="P42" s="61" t="n">
        <f aca="false">O42+P29-P41-P40</f>
        <v>161149.158759365</v>
      </c>
      <c r="Q42" s="61" t="n">
        <f aca="false">P42+Q29-Q41-Q40</f>
        <v>185363.046463974</v>
      </c>
      <c r="R42" s="61" t="n">
        <f aca="false">Q42+R29-R41-R40</f>
        <v>181544.015563374</v>
      </c>
      <c r="S42" s="61" t="n">
        <f aca="false">R42+S29-S41-S40</f>
        <v>167538.063685028</v>
      </c>
      <c r="T42" s="61" t="n">
        <f aca="false">S42+T29-T41-T40</f>
        <v>173004.288548581</v>
      </c>
      <c r="U42" s="61" t="n">
        <f aca="false">T42+U29-U41-U40</f>
        <v>171698.711435472</v>
      </c>
      <c r="V42" s="61" t="n">
        <f aca="false">U42+V29-V41-V40</f>
        <v>176463.709869447</v>
      </c>
      <c r="W42" s="61" t="n">
        <f aca="false">V42+W29-W41-W40</f>
        <v>172844.270393787</v>
      </c>
      <c r="X42" s="61" t="n">
        <f aca="false">W42+X29-X41-X40</f>
        <v>151155.232363671</v>
      </c>
      <c r="Y42" s="61" t="n">
        <f aca="false">X42+Y29-Y41-Y40</f>
        <v>164082.085349335</v>
      </c>
      <c r="Z42" s="61" t="n">
        <f aca="false">Y42+Z29-Z41-Z40</f>
        <v>188775.458057075</v>
      </c>
      <c r="AA42" s="61" t="n">
        <f aca="false">Z42+AA29-AA41-AA40</f>
        <v>186128.544770814</v>
      </c>
      <c r="AB42" s="61" t="n">
        <f aca="false">AA42+AB29-AB41-AB40</f>
        <v>180791.977688924</v>
      </c>
    </row>
    <row r="43" customFormat="false" ht="15" hidden="false" customHeight="false" outlineLevel="0" collapsed="false">
      <c r="A43" s="21" t="s">
        <v>858</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row>
    <row r="44" customFormat="false" ht="15" hidden="false" customHeight="false" outlineLevel="0" collapsed="false">
      <c r="A44" s="27" t="s">
        <v>1316</v>
      </c>
      <c r="B44" s="63"/>
      <c r="C44" s="66" t="n">
        <f aca="false">P44</f>
        <v>1141690.92371194</v>
      </c>
      <c r="D44" s="66" t="n">
        <f aca="false">AB44</f>
        <v>1194435.83430894</v>
      </c>
      <c r="E44" s="76" t="n">
        <f aca="false">E34+E42</f>
        <v>1294013.62310246</v>
      </c>
      <c r="F44" s="76" t="n">
        <f aca="false">F34+F42</f>
        <v>1049208.00051972</v>
      </c>
      <c r="G44" s="76" t="n">
        <f aca="false">G34+G42</f>
        <v>1054752.67439762</v>
      </c>
      <c r="H44" s="76" t="n">
        <f aca="false">H34+H42</f>
        <v>1107141.01447057</v>
      </c>
      <c r="I44" s="76" t="n">
        <f aca="false">I34+I42</f>
        <v>1023295.79835897</v>
      </c>
      <c r="J44" s="76" t="n">
        <f aca="false">J34+J42</f>
        <v>1048416.73873757</v>
      </c>
      <c r="K44" s="76" t="n">
        <f aca="false">K34+K42</f>
        <v>1024920.02329235</v>
      </c>
      <c r="L44" s="76" t="n">
        <f aca="false">L34+L42</f>
        <v>870948.141937356</v>
      </c>
      <c r="M44" s="76" t="n">
        <f aca="false">M34+M42</f>
        <v>1061174.46602263</v>
      </c>
      <c r="N44" s="76" t="n">
        <f aca="false">N34+N42</f>
        <v>1134442.12984607</v>
      </c>
      <c r="O44" s="76" t="n">
        <f aca="false">O34+O42</f>
        <v>1231149.15487926</v>
      </c>
      <c r="P44" s="76" t="n">
        <f aca="false">P34+P42</f>
        <v>1141690.92371194</v>
      </c>
      <c r="Q44" s="76" t="n">
        <f aca="false">Q34+Q42</f>
        <v>1370152.17785284</v>
      </c>
      <c r="R44" s="76" t="n">
        <f aca="false">R34+R42</f>
        <v>1178116.91220303</v>
      </c>
      <c r="S44" s="76" t="n">
        <f aca="false">S34+S42</f>
        <v>1146815.24836735</v>
      </c>
      <c r="T44" s="76" t="n">
        <f aca="false">T34+T42</f>
        <v>1128103.38196479</v>
      </c>
      <c r="U44" s="76" t="n">
        <f aca="false">U34+U42</f>
        <v>1120127.63570143</v>
      </c>
      <c r="V44" s="76" t="n">
        <f aca="false">V34+V42</f>
        <v>1178388.05539451</v>
      </c>
      <c r="W44" s="76" t="n">
        <f aca="false">W34+W42</f>
        <v>1116549.18404015</v>
      </c>
      <c r="X44" s="76" t="n">
        <f aca="false">X34+X42</f>
        <v>948444.087379582</v>
      </c>
      <c r="Y44" s="76" t="n">
        <f aca="false">Y34+Y42</f>
        <v>1145526.21296495</v>
      </c>
      <c r="Z44" s="76" t="n">
        <f aca="false">Z34+Z42</f>
        <v>1260154.20108144</v>
      </c>
      <c r="AA44" s="76" t="n">
        <f aca="false">AA34+AA42</f>
        <v>1215794.73891312</v>
      </c>
      <c r="AB44" s="76" t="n">
        <f aca="false">AB34+AB42</f>
        <v>1194435.83430894</v>
      </c>
    </row>
    <row r="45" customFormat="false" ht="15" hidden="false" customHeight="false" outlineLevel="0" collapsed="false">
      <c r="A45" s="27" t="s">
        <v>1317</v>
      </c>
      <c r="B45" s="63"/>
      <c r="C45" s="66" t="n">
        <f aca="false">SUM(E45:P45)</f>
        <v>9732588.9731105</v>
      </c>
      <c r="D45" s="66" t="n">
        <f aca="false">SUM(Q45:AB45)</f>
        <v>10557523.5928698</v>
      </c>
      <c r="E45" s="76" t="n">
        <f aca="false">E19+E29</f>
        <v>980963.86310246</v>
      </c>
      <c r="F45" s="76" t="n">
        <f aca="false">F19+F29</f>
        <v>718640.437417264</v>
      </c>
      <c r="G45" s="76" t="n">
        <f aca="false">G19+G29</f>
        <v>817229.823877898</v>
      </c>
      <c r="H45" s="76" t="n">
        <f aca="false">H19+H29</f>
        <v>823027.090072947</v>
      </c>
      <c r="I45" s="76" t="n">
        <f aca="false">I19+I29</f>
        <v>756674.383888402</v>
      </c>
      <c r="J45" s="76" t="n">
        <f aca="false">J19+J29</f>
        <v>799248.920378598</v>
      </c>
      <c r="K45" s="76" t="n">
        <f aca="false">K19+K29</f>
        <v>745920.93455478</v>
      </c>
      <c r="L45" s="76" t="n">
        <f aca="false">L19+L29</f>
        <v>604220.318645006</v>
      </c>
      <c r="M45" s="76" t="n">
        <f aca="false">M19+M29</f>
        <v>840324.364190496</v>
      </c>
      <c r="N45" s="76" t="n">
        <f aca="false">N19+N29</f>
        <v>857976.532765844</v>
      </c>
      <c r="O45" s="76" t="n">
        <f aca="false">O19+O29</f>
        <v>949810.064080049</v>
      </c>
      <c r="P45" s="76" t="n">
        <f aca="false">P19+P29</f>
        <v>838552.240136756</v>
      </c>
      <c r="Q45" s="76" t="n">
        <f aca="false">Q19+Q29</f>
        <v>1096767.05703648</v>
      </c>
      <c r="R45" s="76" t="n">
        <f aca="false">R19+R29</f>
        <v>822082.629091399</v>
      </c>
      <c r="S45" s="76" t="n">
        <f aca="false">S19+S29</f>
        <v>877687.495041988</v>
      </c>
      <c r="T45" s="76" t="n">
        <f aca="false">T19+T29</f>
        <v>840703.246282905</v>
      </c>
      <c r="U45" s="76" t="n">
        <f aca="false">U19+U29</f>
        <v>842362.78735181</v>
      </c>
      <c r="V45" s="76" t="n">
        <f aca="false">V19+V29</f>
        <v>901109.805626855</v>
      </c>
      <c r="W45" s="76" t="n">
        <f aca="false">W19+W29</f>
        <v>820130.611230723</v>
      </c>
      <c r="X45" s="76" t="n">
        <f aca="false">X19+X29</f>
        <v>678566.358363462</v>
      </c>
      <c r="Y45" s="76" t="n">
        <f aca="false">Y19+Y29</f>
        <v>921567.412968553</v>
      </c>
      <c r="Z45" s="76" t="n">
        <f aca="false">Z19+Z29</f>
        <v>957262.851841434</v>
      </c>
      <c r="AA45" s="76" t="n">
        <f aca="false">AA19+AA29</f>
        <v>901168.584785616</v>
      </c>
      <c r="AB45" s="76" t="n">
        <f aca="false">AB19+AB29</f>
        <v>898114.753248585</v>
      </c>
    </row>
    <row r="46" customFormat="false" ht="15" hidden="false" customHeight="false" outlineLevel="0" collapsed="false">
      <c r="A46" s="27" t="s">
        <v>1318</v>
      </c>
      <c r="B46" s="63"/>
      <c r="C46" s="74" t="n">
        <f aca="false">P46</f>
        <v>39.6908980488908</v>
      </c>
      <c r="D46" s="74" t="n">
        <f aca="false">AB46</f>
        <v>39.8644133590158</v>
      </c>
      <c r="E46" s="75" t="n">
        <f aca="false">IFERROR(E44/SUM(E45:E45)*SUM(Assumptions!E$205:E$205),0)</f>
        <v>40.8928644825996</v>
      </c>
      <c r="F46" s="75" t="n">
        <f aca="false">IFERROR(F44/SUM(E45:F45)*SUM(Assumptions!E$205:F$205),0)</f>
        <v>36.4221672137063</v>
      </c>
      <c r="G46" s="75" t="n">
        <f aca="false">IFERROR(G44/SUM(E45:G45)*SUM(Assumptions!E$205:G$205),0)</f>
        <v>37.7171223862462</v>
      </c>
      <c r="H46" s="75" t="n">
        <f aca="false">IFERROR(H44/SUM(F45:H45)*SUM(Assumptions!F$205:H$205),0)</f>
        <v>41.7718686363068</v>
      </c>
      <c r="I46" s="75" t="n">
        <f aca="false">IFERROR(I44/SUM(G45:I45)*SUM(Assumptions!G$205:I$205),0)</f>
        <v>39.2765589626588</v>
      </c>
      <c r="J46" s="75" t="n">
        <f aca="false">IFERROR(J44/SUM(H45:J45)*SUM(Assumptions!H$205:J$205),0)</f>
        <v>40.1042087519399</v>
      </c>
      <c r="K46" s="75" t="n">
        <f aca="false">IFERROR(K44/SUM(I45:K45)*SUM(Assumptions!I$205:K$205),0)</f>
        <v>40.9639542731009</v>
      </c>
      <c r="L46" s="75" t="n">
        <f aca="false">IFERROR(L44/SUM(J45:L45)*SUM(Assumptions!J$205:L$205),0)</f>
        <v>37.2790524694909</v>
      </c>
      <c r="M46" s="75" t="n">
        <f aca="false">IFERROR(M44/SUM(K45:M45)*SUM(Assumptions!K$205:M$205),0)</f>
        <v>44.5695427031609</v>
      </c>
      <c r="N46" s="75" t="n">
        <f aca="false">IFERROR(N44/SUM(L45:N45)*SUM(Assumptions!L$205:N$205),0)</f>
        <v>45.3279975179645</v>
      </c>
      <c r="O46" s="75" t="n">
        <f aca="false">IFERROR(O44/SUM(M45:O45)*SUM(Assumptions!M$205:O$205),0)</f>
        <v>42.3073559765661</v>
      </c>
      <c r="P46" s="75" t="n">
        <f aca="false">IFERROR(P44/SUM(N45:P45)*SUM(Assumptions!N$205:P$205),0)</f>
        <v>39.6908980488908</v>
      </c>
      <c r="Q46" s="75" t="n">
        <f aca="false">IFERROR(Q44/SUM(O45:Q45)*SUM(Assumptions!O$205:Q$205),0)</f>
        <v>43.6909353373686</v>
      </c>
      <c r="R46" s="75" t="n">
        <f aca="false">IFERROR(R44/SUM(P45:R45)*SUM(Assumptions!P$205:R$205),0)</f>
        <v>38.4530528858768</v>
      </c>
      <c r="S46" s="75" t="n">
        <f aca="false">IFERROR(S44/SUM(Q45:S45)*SUM(Assumptions!Q$205:S$205),0)</f>
        <v>36.9075630562097</v>
      </c>
      <c r="T46" s="75" t="n">
        <f aca="false">IFERROR(T44/SUM(R45:T45)*SUM(Assumptions!R$205:T$205),0)</f>
        <v>39.5206665671186</v>
      </c>
      <c r="U46" s="75" t="n">
        <f aca="false">IFERROR(U44/SUM(S45:U45)*SUM(Assumptions!S$205:U$205),0)</f>
        <v>40.2427415721593</v>
      </c>
      <c r="V46" s="75" t="n">
        <f aca="false">IFERROR(V44/SUM(T45:V45)*SUM(Assumptions!T$205:V$205),0)</f>
        <v>41.496136374196</v>
      </c>
      <c r="W46" s="75" t="n">
        <f aca="false">IFERROR(W44/SUM(U45:W45)*SUM(Assumptions!U$205:W$205),0)</f>
        <v>40.0695882900385</v>
      </c>
      <c r="X46" s="75" t="n">
        <f aca="false">IFERROR(X44/SUM(V45:X45)*SUM(Assumptions!V$205:X$205),0)</f>
        <v>36.3599507009828</v>
      </c>
      <c r="Y46" s="75" t="n">
        <f aca="false">IFERROR(Y44/SUM(W45:Y45)*SUM(Assumptions!W$205:Y$205),0)</f>
        <v>43.5441732531646</v>
      </c>
      <c r="Z46" s="75" t="n">
        <f aca="false">IFERROR(Z44/SUM(X45:Z45)*SUM(Assumptions!X$205:Z$205),0)</f>
        <v>45.3328926178182</v>
      </c>
      <c r="AA46" s="75" t="n">
        <f aca="false">IFERROR(AA44/SUM(Y45:AA45)*SUM(Assumptions!Y$205:AA$205),0)</f>
        <v>39.7976140375699</v>
      </c>
      <c r="AB46" s="75" t="n">
        <f aca="false">IFERROR(AB44/SUM(Z45:AB45)*SUM(Assumptions!Z$205:AB$205),0)</f>
        <v>39.8644133590158</v>
      </c>
    </row>
    <row r="47" customFormat="false" ht="15" hidden="false" customHeight="false" outlineLevel="0" collapsed="false">
      <c r="A47" s="59" t="s">
        <v>1319</v>
      </c>
      <c r="B47" s="60"/>
      <c r="C47" s="61" t="n">
        <f aca="false">SUM(E47:P47)</f>
        <v>9867987.07939856</v>
      </c>
      <c r="D47" s="61" t="n">
        <f aca="false">SUM(Q47:AB47)</f>
        <v>10504778.6822728</v>
      </c>
      <c r="E47" s="61" t="n">
        <f aca="false">E33+E41</f>
        <v>964039.27</v>
      </c>
      <c r="F47" s="61" t="n">
        <f aca="false">F33+F41</f>
        <v>963446.06</v>
      </c>
      <c r="G47" s="61" t="n">
        <f aca="false">G33+G41</f>
        <v>811685.15</v>
      </c>
      <c r="H47" s="61" t="n">
        <f aca="false">H33+H41</f>
        <v>770638.75</v>
      </c>
      <c r="I47" s="61" t="n">
        <f aca="false">I33+I41</f>
        <v>840519.6</v>
      </c>
      <c r="J47" s="61" t="n">
        <f aca="false">J33+J41</f>
        <v>774127.98</v>
      </c>
      <c r="K47" s="61" t="n">
        <f aca="false">K33+K41</f>
        <v>769417.65</v>
      </c>
      <c r="L47" s="61" t="n">
        <f aca="false">L33+L41</f>
        <v>758192.2</v>
      </c>
      <c r="M47" s="61" t="n">
        <f aca="false">M33+M41</f>
        <v>650098.040105225</v>
      </c>
      <c r="N47" s="61" t="n">
        <f aca="false">N33+N41</f>
        <v>784708.868942402</v>
      </c>
      <c r="O47" s="61" t="n">
        <f aca="false">O33+O41</f>
        <v>853103.039046854</v>
      </c>
      <c r="P47" s="61" t="n">
        <f aca="false">P33+P41</f>
        <v>928010.471304079</v>
      </c>
      <c r="Q47" s="61" t="n">
        <f aca="false">Q33+Q41</f>
        <v>868305.802895589</v>
      </c>
      <c r="R47" s="61" t="n">
        <f aca="false">R33+R41</f>
        <v>1014117.8947412</v>
      </c>
      <c r="S47" s="61" t="n">
        <f aca="false">S33+S41</f>
        <v>908989.158877665</v>
      </c>
      <c r="T47" s="61" t="n">
        <f aca="false">T33+T41</f>
        <v>859415.112685469</v>
      </c>
      <c r="U47" s="61" t="n">
        <f aca="false">U33+U41</f>
        <v>850338.533615171</v>
      </c>
      <c r="V47" s="61" t="n">
        <f aca="false">V33+V41</f>
        <v>842849.385933772</v>
      </c>
      <c r="W47" s="61" t="n">
        <f aca="false">W33+W41</f>
        <v>881969.482585088</v>
      </c>
      <c r="X47" s="61" t="n">
        <f aca="false">X33+X41</f>
        <v>846671.455024028</v>
      </c>
      <c r="Y47" s="61" t="n">
        <f aca="false">Y33+Y41</f>
        <v>724485.287383184</v>
      </c>
      <c r="Z47" s="61" t="n">
        <f aca="false">Z33+Z41</f>
        <v>842634.863724942</v>
      </c>
      <c r="AA47" s="61" t="n">
        <f aca="false">AA33+AA41</f>
        <v>945528.046953936</v>
      </c>
      <c r="AB47" s="61" t="n">
        <f aca="false">AB33+AB41</f>
        <v>919473.657852768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8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50"/>
    <col collapsed="false" customWidth="true" hidden="false" outlineLevel="0" max="3" min="3" style="0" width="15"/>
    <col collapsed="false" customWidth="true" hidden="false" outlineLevel="0" max="4" min="4" style="0" width="13"/>
    <col collapsed="false" customWidth="true" hidden="false" outlineLevel="0" max="5" min="5" style="0" width="11"/>
    <col collapsed="false" customWidth="true" hidden="false" outlineLevel="0" max="6" min="6" style="0" width="9"/>
    <col collapsed="false" customWidth="true" hidden="false" outlineLevel="0" max="11" min="7" style="0" width="12"/>
    <col collapsed="false" customWidth="true" hidden="false" outlineLevel="0" max="12" min="12" style="0" width="56"/>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1320</v>
      </c>
    </row>
    <row r="3" customFormat="false" ht="15" hidden="false" customHeight="false" outlineLevel="0" collapsed="false">
      <c r="A3" s="24" t="s">
        <v>1321</v>
      </c>
    </row>
    <row r="4" customFormat="false" ht="15" hidden="false" customHeight="false" outlineLevel="0" collapsed="false">
      <c r="A4" s="0" t="s">
        <v>1322</v>
      </c>
      <c r="B4" s="124" t="n">
        <f aca="false">Assumptions!$C$15</f>
        <v>46265</v>
      </c>
    </row>
    <row r="6" customFormat="false" ht="30" hidden="false" customHeight="true" outlineLevel="0" collapsed="false">
      <c r="A6" s="25" t="s">
        <v>1323</v>
      </c>
      <c r="B6" s="26" t="s">
        <v>1324</v>
      </c>
      <c r="C6" s="26" t="s">
        <v>1325</v>
      </c>
      <c r="D6" s="26" t="s">
        <v>1326</v>
      </c>
      <c r="E6" s="26" t="s">
        <v>1327</v>
      </c>
      <c r="F6" s="26" t="s">
        <v>1328</v>
      </c>
      <c r="G6" s="26" t="s">
        <v>1329</v>
      </c>
      <c r="H6" s="26" t="s">
        <v>1330</v>
      </c>
      <c r="I6" s="26" t="s">
        <v>1331</v>
      </c>
      <c r="J6" s="26" t="s">
        <v>1332</v>
      </c>
      <c r="K6" s="26" t="s">
        <v>1333</v>
      </c>
      <c r="L6" s="26" t="s">
        <v>1334</v>
      </c>
    </row>
    <row r="7" customFormat="false" ht="15" hidden="false" customHeight="false" outlineLevel="0" collapsed="false">
      <c r="A7" s="14" t="s">
        <v>1335</v>
      </c>
      <c r="B7" s="14" t="s">
        <v>1336</v>
      </c>
      <c r="C7" s="14" t="s">
        <v>1337</v>
      </c>
      <c r="D7" s="115" t="n">
        <v>36978.38</v>
      </c>
      <c r="E7" s="125" t="n">
        <v>46279</v>
      </c>
      <c r="F7" s="126" t="n">
        <f aca="false">MAX(0,$B$4-E7)</f>
        <v>0</v>
      </c>
      <c r="G7" s="28" t="n">
        <f aca="false">IF(E7&gt;=$B$4,D7,0)</f>
        <v>36978.38</v>
      </c>
      <c r="H7" s="28" t="n">
        <f aca="false">IF(AND(F7&gt;=1,F7&lt;=30),D7,0)</f>
        <v>0</v>
      </c>
      <c r="I7" s="28" t="n">
        <f aca="false">IF(AND(F7&gt;30,F7&lt;=60),D7,0)</f>
        <v>0</v>
      </c>
      <c r="J7" s="28" t="n">
        <f aca="false">IF(AND(F7&gt;60,F7&lt;=90),D7,0)</f>
        <v>0</v>
      </c>
      <c r="K7" s="28" t="n">
        <f aca="false">IF(F7&gt;90,D7,0)</f>
        <v>0</v>
      </c>
      <c r="L7" s="47" t="s">
        <v>1338</v>
      </c>
    </row>
    <row r="8" customFormat="false" ht="15" hidden="false" customHeight="false" outlineLevel="0" collapsed="false">
      <c r="A8" s="14" t="s">
        <v>1339</v>
      </c>
      <c r="B8" s="14" t="s">
        <v>1340</v>
      </c>
      <c r="C8" s="14" t="s">
        <v>1337</v>
      </c>
      <c r="D8" s="115" t="n">
        <v>14404.46</v>
      </c>
      <c r="E8" s="125" t="n">
        <v>46279</v>
      </c>
      <c r="F8" s="126" t="n">
        <f aca="false">MAX(0,$B$4-E8)</f>
        <v>0</v>
      </c>
      <c r="G8" s="28" t="n">
        <f aca="false">IF(E8&gt;=$B$4,D8,0)</f>
        <v>14404.46</v>
      </c>
      <c r="H8" s="28" t="n">
        <f aca="false">IF(AND(F8&gt;=1,F8&lt;=30),D8,0)</f>
        <v>0</v>
      </c>
      <c r="I8" s="28" t="n">
        <f aca="false">IF(AND(F8&gt;30,F8&lt;=60),D8,0)</f>
        <v>0</v>
      </c>
      <c r="J8" s="28" t="n">
        <f aca="false">IF(AND(F8&gt;60,F8&lt;=90),D8,0)</f>
        <v>0</v>
      </c>
      <c r="K8" s="28" t="n">
        <f aca="false">IF(F8&gt;90,D8,0)</f>
        <v>0</v>
      </c>
      <c r="L8" s="47" t="s">
        <v>1341</v>
      </c>
    </row>
    <row r="9" customFormat="false" ht="15" hidden="false" customHeight="false" outlineLevel="0" collapsed="false">
      <c r="A9" s="14" t="s">
        <v>1342</v>
      </c>
      <c r="B9" s="14" t="s">
        <v>1340</v>
      </c>
      <c r="C9" s="14" t="s">
        <v>1337</v>
      </c>
      <c r="D9" s="115" t="n">
        <v>37915.8</v>
      </c>
      <c r="E9" s="125" t="n">
        <v>46279</v>
      </c>
      <c r="F9" s="126" t="n">
        <f aca="false">MAX(0,$B$4-E9)</f>
        <v>0</v>
      </c>
      <c r="G9" s="28" t="n">
        <f aca="false">IF(E9&gt;=$B$4,D9,0)</f>
        <v>37915.8</v>
      </c>
      <c r="H9" s="28" t="n">
        <f aca="false">IF(AND(F9&gt;=1,F9&lt;=30),D9,0)</f>
        <v>0</v>
      </c>
      <c r="I9" s="28" t="n">
        <f aca="false">IF(AND(F9&gt;30,F9&lt;=60),D9,0)</f>
        <v>0</v>
      </c>
      <c r="J9" s="28" t="n">
        <f aca="false">IF(AND(F9&gt;60,F9&lt;=90),D9,0)</f>
        <v>0</v>
      </c>
      <c r="K9" s="28" t="n">
        <f aca="false">IF(F9&gt;90,D9,0)</f>
        <v>0</v>
      </c>
      <c r="L9" s="47" t="s">
        <v>1338</v>
      </c>
    </row>
    <row r="10" customFormat="false" ht="15" hidden="false" customHeight="false" outlineLevel="0" collapsed="false">
      <c r="A10" s="14" t="s">
        <v>1343</v>
      </c>
      <c r="B10" s="14" t="s">
        <v>1340</v>
      </c>
      <c r="C10" s="14" t="s">
        <v>1337</v>
      </c>
      <c r="D10" s="115" t="n">
        <v>37246.43</v>
      </c>
      <c r="E10" s="125" t="n">
        <v>46279</v>
      </c>
      <c r="F10" s="126" t="n">
        <f aca="false">MAX(0,$B$4-E10)</f>
        <v>0</v>
      </c>
      <c r="G10" s="28" t="n">
        <f aca="false">IF(E10&gt;=$B$4,D10,0)</f>
        <v>37246.43</v>
      </c>
      <c r="H10" s="28" t="n">
        <f aca="false">IF(AND(F10&gt;=1,F10&lt;=30),D10,0)</f>
        <v>0</v>
      </c>
      <c r="I10" s="28" t="n">
        <f aca="false">IF(AND(F10&gt;30,F10&lt;=60),D10,0)</f>
        <v>0</v>
      </c>
      <c r="J10" s="28" t="n">
        <f aca="false">IF(AND(F10&gt;60,F10&lt;=90),D10,0)</f>
        <v>0</v>
      </c>
      <c r="K10" s="28" t="n">
        <f aca="false">IF(F10&gt;90,D10,0)</f>
        <v>0</v>
      </c>
      <c r="L10" s="47" t="s">
        <v>1338</v>
      </c>
    </row>
    <row r="11" customFormat="false" ht="15" hidden="false" customHeight="false" outlineLevel="0" collapsed="false">
      <c r="A11" s="14" t="s">
        <v>1344</v>
      </c>
      <c r="B11" s="14" t="s">
        <v>1336</v>
      </c>
      <c r="C11" s="14" t="s">
        <v>1337</v>
      </c>
      <c r="D11" s="115" t="n">
        <v>12915.93</v>
      </c>
      <c r="E11" s="125" t="n">
        <v>46294</v>
      </c>
      <c r="F11" s="126" t="n">
        <f aca="false">MAX(0,$B$4-E11)</f>
        <v>0</v>
      </c>
      <c r="G11" s="28" t="n">
        <f aca="false">IF(E11&gt;=$B$4,D11,0)</f>
        <v>12915.93</v>
      </c>
      <c r="H11" s="28" t="n">
        <f aca="false">IF(AND(F11&gt;=1,F11&lt;=30),D11,0)</f>
        <v>0</v>
      </c>
      <c r="I11" s="28" t="n">
        <f aca="false">IF(AND(F11&gt;30,F11&lt;=60),D11,0)</f>
        <v>0</v>
      </c>
      <c r="J11" s="28" t="n">
        <f aca="false">IF(AND(F11&gt;60,F11&lt;=90),D11,0)</f>
        <v>0</v>
      </c>
      <c r="K11" s="28" t="n">
        <f aca="false">IF(F11&gt;90,D11,0)</f>
        <v>0</v>
      </c>
      <c r="L11" s="47" t="s">
        <v>1345</v>
      </c>
    </row>
    <row r="12" customFormat="false" ht="15" hidden="false" customHeight="false" outlineLevel="0" collapsed="false">
      <c r="A12" s="14" t="s">
        <v>1344</v>
      </c>
      <c r="B12" s="14" t="s">
        <v>1346</v>
      </c>
      <c r="C12" s="14" t="s">
        <v>1337</v>
      </c>
      <c r="D12" s="115" t="n">
        <v>10036.8</v>
      </c>
      <c r="E12" s="125" t="n">
        <v>46294</v>
      </c>
      <c r="F12" s="126" t="n">
        <f aca="false">MAX(0,$B$4-E12)</f>
        <v>0</v>
      </c>
      <c r="G12" s="28" t="n">
        <f aca="false">IF(E12&gt;=$B$4,D12,0)</f>
        <v>10036.8</v>
      </c>
      <c r="H12" s="28" t="n">
        <f aca="false">IF(AND(F12&gt;=1,F12&lt;=30),D12,0)</f>
        <v>0</v>
      </c>
      <c r="I12" s="28" t="n">
        <f aca="false">IF(AND(F12&gt;30,F12&lt;=60),D12,0)</f>
        <v>0</v>
      </c>
      <c r="J12" s="28" t="n">
        <f aca="false">IF(AND(F12&gt;60,F12&lt;=90),D12,0)</f>
        <v>0</v>
      </c>
      <c r="K12" s="28" t="n">
        <f aca="false">IF(F12&gt;90,D12,0)</f>
        <v>0</v>
      </c>
      <c r="L12" s="47" t="s">
        <v>1345</v>
      </c>
    </row>
    <row r="13" customFormat="false" ht="15" hidden="false" customHeight="false" outlineLevel="0" collapsed="false">
      <c r="A13" s="14" t="s">
        <v>1347</v>
      </c>
      <c r="B13" s="14" t="s">
        <v>1336</v>
      </c>
      <c r="C13" s="14" t="s">
        <v>1337</v>
      </c>
      <c r="D13" s="115" t="n">
        <v>14048.25</v>
      </c>
      <c r="E13" s="125" t="n">
        <v>46294</v>
      </c>
      <c r="F13" s="126" t="n">
        <f aca="false">MAX(0,$B$4-E13)</f>
        <v>0</v>
      </c>
      <c r="G13" s="28" t="n">
        <f aca="false">IF(E13&gt;=$B$4,D13,0)</f>
        <v>14048.25</v>
      </c>
      <c r="H13" s="28" t="n">
        <f aca="false">IF(AND(F13&gt;=1,F13&lt;=30),D13,0)</f>
        <v>0</v>
      </c>
      <c r="I13" s="28" t="n">
        <f aca="false">IF(AND(F13&gt;30,F13&lt;=60),D13,0)</f>
        <v>0</v>
      </c>
      <c r="J13" s="28" t="n">
        <f aca="false">IF(AND(F13&gt;60,F13&lt;=90),D13,0)</f>
        <v>0</v>
      </c>
      <c r="K13" s="28" t="n">
        <f aca="false">IF(F13&gt;90,D13,0)</f>
        <v>0</v>
      </c>
      <c r="L13" s="47" t="s">
        <v>1345</v>
      </c>
    </row>
    <row r="14" customFormat="false" ht="15" hidden="false" customHeight="false" outlineLevel="0" collapsed="false">
      <c r="A14" s="14" t="s">
        <v>1343</v>
      </c>
      <c r="B14" s="14" t="s">
        <v>1336</v>
      </c>
      <c r="C14" s="14" t="s">
        <v>1337</v>
      </c>
      <c r="D14" s="115" t="n">
        <v>13617.7</v>
      </c>
      <c r="E14" s="125" t="n">
        <v>46294</v>
      </c>
      <c r="F14" s="126" t="n">
        <f aca="false">MAX(0,$B$4-E14)</f>
        <v>0</v>
      </c>
      <c r="G14" s="28" t="n">
        <f aca="false">IF(E14&gt;=$B$4,D14,0)</f>
        <v>13617.7</v>
      </c>
      <c r="H14" s="28" t="n">
        <f aca="false">IF(AND(F14&gt;=1,F14&lt;=30),D14,0)</f>
        <v>0</v>
      </c>
      <c r="I14" s="28" t="n">
        <f aca="false">IF(AND(F14&gt;30,F14&lt;=60),D14,0)</f>
        <v>0</v>
      </c>
      <c r="J14" s="28" t="n">
        <f aca="false">IF(AND(F14&gt;60,F14&lt;=90),D14,0)</f>
        <v>0</v>
      </c>
      <c r="K14" s="28" t="n">
        <f aca="false">IF(F14&gt;90,D14,0)</f>
        <v>0</v>
      </c>
      <c r="L14" s="47" t="s">
        <v>1345</v>
      </c>
    </row>
    <row r="15" customFormat="false" ht="15" hidden="false" customHeight="false" outlineLevel="0" collapsed="false">
      <c r="A15" s="14" t="s">
        <v>1348</v>
      </c>
      <c r="B15" s="14" t="s">
        <v>1349</v>
      </c>
      <c r="C15" s="14" t="s">
        <v>1337</v>
      </c>
      <c r="D15" s="115" t="n">
        <v>6718.12</v>
      </c>
      <c r="E15" s="125" t="n">
        <v>46295</v>
      </c>
      <c r="F15" s="126" t="n">
        <f aca="false">MAX(0,$B$4-E15)</f>
        <v>0</v>
      </c>
      <c r="G15" s="28" t="n">
        <f aca="false">IF(E15&gt;=$B$4,D15,0)</f>
        <v>6718.12</v>
      </c>
      <c r="H15" s="28" t="n">
        <f aca="false">IF(AND(F15&gt;=1,F15&lt;=30),D15,0)</f>
        <v>0</v>
      </c>
      <c r="I15" s="28" t="n">
        <f aca="false">IF(AND(F15&gt;30,F15&lt;=60),D15,0)</f>
        <v>0</v>
      </c>
      <c r="J15" s="28" t="n">
        <f aca="false">IF(AND(F15&gt;60,F15&lt;=90),D15,0)</f>
        <v>0</v>
      </c>
      <c r="K15" s="28" t="n">
        <f aca="false">IF(F15&gt;90,D15,0)</f>
        <v>0</v>
      </c>
      <c r="L15" s="47" t="s">
        <v>1350</v>
      </c>
    </row>
    <row r="16" customFormat="false" ht="15" hidden="false" customHeight="false" outlineLevel="0" collapsed="false">
      <c r="A16" s="14" t="s">
        <v>1351</v>
      </c>
      <c r="B16" s="14" t="s">
        <v>1349</v>
      </c>
      <c r="C16" s="14" t="s">
        <v>1337</v>
      </c>
      <c r="D16" s="115" t="n">
        <v>6448.07</v>
      </c>
      <c r="E16" s="125" t="n">
        <v>46295</v>
      </c>
      <c r="F16" s="126" t="n">
        <f aca="false">MAX(0,$B$4-E16)</f>
        <v>0</v>
      </c>
      <c r="G16" s="28" t="n">
        <f aca="false">IF(E16&gt;=$B$4,D16,0)</f>
        <v>6448.07</v>
      </c>
      <c r="H16" s="28" t="n">
        <f aca="false">IF(AND(F16&gt;=1,F16&lt;=30),D16,0)</f>
        <v>0</v>
      </c>
      <c r="I16" s="28" t="n">
        <f aca="false">IF(AND(F16&gt;30,F16&lt;=60),D16,0)</f>
        <v>0</v>
      </c>
      <c r="J16" s="28" t="n">
        <f aca="false">IF(AND(F16&gt;60,F16&lt;=90),D16,0)</f>
        <v>0</v>
      </c>
      <c r="K16" s="28" t="n">
        <f aca="false">IF(F16&gt;90,D16,0)</f>
        <v>0</v>
      </c>
      <c r="L16" s="47" t="s">
        <v>1350</v>
      </c>
    </row>
    <row r="17" customFormat="false" ht="15" hidden="false" customHeight="false" outlineLevel="0" collapsed="false">
      <c r="A17" s="14" t="s">
        <v>1352</v>
      </c>
      <c r="B17" s="14" t="s">
        <v>1349</v>
      </c>
      <c r="C17" s="14" t="s">
        <v>1337</v>
      </c>
      <c r="D17" s="115" t="n">
        <v>24860.44</v>
      </c>
      <c r="E17" s="125" t="n">
        <v>46295</v>
      </c>
      <c r="F17" s="126" t="n">
        <f aca="false">MAX(0,$B$4-E17)</f>
        <v>0</v>
      </c>
      <c r="G17" s="28" t="n">
        <f aca="false">IF(E17&gt;=$B$4,D17,0)</f>
        <v>24860.44</v>
      </c>
      <c r="H17" s="28" t="n">
        <f aca="false">IF(AND(F17&gt;=1,F17&lt;=30),D17,0)</f>
        <v>0</v>
      </c>
      <c r="I17" s="28" t="n">
        <f aca="false">IF(AND(F17&gt;30,F17&lt;=60),D17,0)</f>
        <v>0</v>
      </c>
      <c r="J17" s="28" t="n">
        <f aca="false">IF(AND(F17&gt;60,F17&lt;=90),D17,0)</f>
        <v>0</v>
      </c>
      <c r="K17" s="28" t="n">
        <f aca="false">IF(F17&gt;90,D17,0)</f>
        <v>0</v>
      </c>
      <c r="L17" s="47" t="s">
        <v>1350</v>
      </c>
    </row>
    <row r="18" customFormat="false" ht="15" hidden="false" customHeight="false" outlineLevel="0" collapsed="false">
      <c r="A18" s="14" t="s">
        <v>1353</v>
      </c>
      <c r="B18" s="14" t="s">
        <v>1349</v>
      </c>
      <c r="C18" s="14" t="s">
        <v>1337</v>
      </c>
      <c r="D18" s="115" t="n">
        <v>22703.18</v>
      </c>
      <c r="E18" s="125" t="n">
        <v>46295</v>
      </c>
      <c r="F18" s="126" t="n">
        <f aca="false">MAX(0,$B$4-E18)</f>
        <v>0</v>
      </c>
      <c r="G18" s="28" t="n">
        <f aca="false">IF(E18&gt;=$B$4,D18,0)</f>
        <v>22703.18</v>
      </c>
      <c r="H18" s="28" t="n">
        <f aca="false">IF(AND(F18&gt;=1,F18&lt;=30),D18,0)</f>
        <v>0</v>
      </c>
      <c r="I18" s="28" t="n">
        <f aca="false">IF(AND(F18&gt;30,F18&lt;=60),D18,0)</f>
        <v>0</v>
      </c>
      <c r="J18" s="28" t="n">
        <f aca="false">IF(AND(F18&gt;60,F18&lt;=90),D18,0)</f>
        <v>0</v>
      </c>
      <c r="K18" s="28" t="n">
        <f aca="false">IF(F18&gt;90,D18,0)</f>
        <v>0</v>
      </c>
      <c r="L18" s="47" t="s">
        <v>1350</v>
      </c>
    </row>
    <row r="19" customFormat="false" ht="15" hidden="false" customHeight="false" outlineLevel="0" collapsed="false">
      <c r="A19" s="14" t="s">
        <v>1354</v>
      </c>
      <c r="B19" s="14" t="s">
        <v>1349</v>
      </c>
      <c r="C19" s="14" t="s">
        <v>1337</v>
      </c>
      <c r="D19" s="115" t="n">
        <v>7946.14</v>
      </c>
      <c r="E19" s="125" t="n">
        <v>46295</v>
      </c>
      <c r="F19" s="126" t="n">
        <f aca="false">MAX(0,$B$4-E19)</f>
        <v>0</v>
      </c>
      <c r="G19" s="28" t="n">
        <f aca="false">IF(E19&gt;=$B$4,D19,0)</f>
        <v>7946.14</v>
      </c>
      <c r="H19" s="28" t="n">
        <f aca="false">IF(AND(F19&gt;=1,F19&lt;=30),D19,0)</f>
        <v>0</v>
      </c>
      <c r="I19" s="28" t="n">
        <f aca="false">IF(AND(F19&gt;30,F19&lt;=60),D19,0)</f>
        <v>0</v>
      </c>
      <c r="J19" s="28" t="n">
        <f aca="false">IF(AND(F19&gt;60,F19&lt;=90),D19,0)</f>
        <v>0</v>
      </c>
      <c r="K19" s="28" t="n">
        <f aca="false">IF(F19&gt;90,D19,0)</f>
        <v>0</v>
      </c>
      <c r="L19" s="47" t="s">
        <v>1350</v>
      </c>
    </row>
    <row r="20" customFormat="false" ht="15" hidden="false" customHeight="false" outlineLevel="0" collapsed="false">
      <c r="A20" s="14" t="s">
        <v>1354</v>
      </c>
      <c r="B20" s="14" t="s">
        <v>1355</v>
      </c>
      <c r="C20" s="14" t="s">
        <v>1337</v>
      </c>
      <c r="D20" s="115" t="n">
        <v>8345.78</v>
      </c>
      <c r="E20" s="125" t="n">
        <v>46295</v>
      </c>
      <c r="F20" s="126" t="n">
        <f aca="false">MAX(0,$B$4-E20)</f>
        <v>0</v>
      </c>
      <c r="G20" s="28" t="n">
        <f aca="false">IF(E20&gt;=$B$4,D20,0)</f>
        <v>8345.78</v>
      </c>
      <c r="H20" s="28" t="n">
        <f aca="false">IF(AND(F20&gt;=1,F20&lt;=30),D20,0)</f>
        <v>0</v>
      </c>
      <c r="I20" s="28" t="n">
        <f aca="false">IF(AND(F20&gt;30,F20&lt;=60),D20,0)</f>
        <v>0</v>
      </c>
      <c r="J20" s="28" t="n">
        <f aca="false">IF(AND(F20&gt;60,F20&lt;=90),D20,0)</f>
        <v>0</v>
      </c>
      <c r="K20" s="28" t="n">
        <f aca="false">IF(F20&gt;90,D20,0)</f>
        <v>0</v>
      </c>
      <c r="L20" s="47" t="s">
        <v>1350</v>
      </c>
    </row>
    <row r="21" customFormat="false" ht="15" hidden="false" customHeight="false" outlineLevel="0" collapsed="false">
      <c r="A21" s="14" t="s">
        <v>1342</v>
      </c>
      <c r="B21" s="14" t="s">
        <v>1349</v>
      </c>
      <c r="C21" s="14" t="s">
        <v>1337</v>
      </c>
      <c r="D21" s="115" t="n">
        <v>17547.52</v>
      </c>
      <c r="E21" s="125" t="n">
        <v>46295</v>
      </c>
      <c r="F21" s="126" t="n">
        <f aca="false">MAX(0,$B$4-E21)</f>
        <v>0</v>
      </c>
      <c r="G21" s="28" t="n">
        <f aca="false">IF(E21&gt;=$B$4,D21,0)</f>
        <v>17547.52</v>
      </c>
      <c r="H21" s="28" t="n">
        <f aca="false">IF(AND(F21&gt;=1,F21&lt;=30),D21,0)</f>
        <v>0</v>
      </c>
      <c r="I21" s="28" t="n">
        <f aca="false">IF(AND(F21&gt;30,F21&lt;=60),D21,0)</f>
        <v>0</v>
      </c>
      <c r="J21" s="28" t="n">
        <f aca="false">IF(AND(F21&gt;60,F21&lt;=90),D21,0)</f>
        <v>0</v>
      </c>
      <c r="K21" s="28" t="n">
        <f aca="false">IF(F21&gt;90,D21,0)</f>
        <v>0</v>
      </c>
      <c r="L21" s="47" t="s">
        <v>1350</v>
      </c>
    </row>
    <row r="22" customFormat="false" ht="15" hidden="false" customHeight="false" outlineLevel="0" collapsed="false">
      <c r="A22" s="14" t="s">
        <v>1356</v>
      </c>
      <c r="B22" s="14" t="s">
        <v>1349</v>
      </c>
      <c r="C22" s="14" t="s">
        <v>1337</v>
      </c>
      <c r="D22" s="115" t="n">
        <v>8016.01</v>
      </c>
      <c r="E22" s="125" t="n">
        <v>46295</v>
      </c>
      <c r="F22" s="126" t="n">
        <f aca="false">MAX(0,$B$4-E22)</f>
        <v>0</v>
      </c>
      <c r="G22" s="28" t="n">
        <f aca="false">IF(E22&gt;=$B$4,D22,0)</f>
        <v>8016.01</v>
      </c>
      <c r="H22" s="28" t="n">
        <f aca="false">IF(AND(F22&gt;=1,F22&lt;=30),D22,0)</f>
        <v>0</v>
      </c>
      <c r="I22" s="28" t="n">
        <f aca="false">IF(AND(F22&gt;30,F22&lt;=60),D22,0)</f>
        <v>0</v>
      </c>
      <c r="J22" s="28" t="n">
        <f aca="false">IF(AND(F22&gt;60,F22&lt;=90),D22,0)</f>
        <v>0</v>
      </c>
      <c r="K22" s="28" t="n">
        <f aca="false">IF(F22&gt;90,D22,0)</f>
        <v>0</v>
      </c>
      <c r="L22" s="47" t="s">
        <v>1350</v>
      </c>
    </row>
    <row r="23" customFormat="false" ht="15" hidden="false" customHeight="false" outlineLevel="0" collapsed="false">
      <c r="A23" s="14" t="s">
        <v>1357</v>
      </c>
      <c r="B23" s="14" t="s">
        <v>1349</v>
      </c>
      <c r="C23" s="14" t="s">
        <v>1337</v>
      </c>
      <c r="D23" s="115" t="n">
        <v>12455.79</v>
      </c>
      <c r="E23" s="125" t="n">
        <v>46295</v>
      </c>
      <c r="F23" s="126" t="n">
        <f aca="false">MAX(0,$B$4-E23)</f>
        <v>0</v>
      </c>
      <c r="G23" s="28" t="n">
        <f aca="false">IF(E23&gt;=$B$4,D23,0)</f>
        <v>12455.79</v>
      </c>
      <c r="H23" s="28" t="n">
        <f aca="false">IF(AND(F23&gt;=1,F23&lt;=30),D23,0)</f>
        <v>0</v>
      </c>
      <c r="I23" s="28" t="n">
        <f aca="false">IF(AND(F23&gt;30,F23&lt;=60),D23,0)</f>
        <v>0</v>
      </c>
      <c r="J23" s="28" t="n">
        <f aca="false">IF(AND(F23&gt;60,F23&lt;=90),D23,0)</f>
        <v>0</v>
      </c>
      <c r="K23" s="28" t="n">
        <f aca="false">IF(F23&gt;90,D23,0)</f>
        <v>0</v>
      </c>
      <c r="L23" s="47" t="s">
        <v>1350</v>
      </c>
    </row>
    <row r="24" customFormat="false" ht="15" hidden="false" customHeight="false" outlineLevel="0" collapsed="false">
      <c r="A24" s="14" t="s">
        <v>1358</v>
      </c>
      <c r="B24" s="14" t="s">
        <v>1349</v>
      </c>
      <c r="C24" s="14" t="s">
        <v>1337</v>
      </c>
      <c r="D24" s="115" t="n">
        <v>12649.23</v>
      </c>
      <c r="E24" s="125" t="n">
        <v>46295</v>
      </c>
      <c r="F24" s="126" t="n">
        <f aca="false">MAX(0,$B$4-E24)</f>
        <v>0</v>
      </c>
      <c r="G24" s="28" t="n">
        <f aca="false">IF(E24&gt;=$B$4,D24,0)</f>
        <v>12649.23</v>
      </c>
      <c r="H24" s="28" t="n">
        <f aca="false">IF(AND(F24&gt;=1,F24&lt;=30),D24,0)</f>
        <v>0</v>
      </c>
      <c r="I24" s="28" t="n">
        <f aca="false">IF(AND(F24&gt;30,F24&lt;=60),D24,0)</f>
        <v>0</v>
      </c>
      <c r="J24" s="28" t="n">
        <f aca="false">IF(AND(F24&gt;60,F24&lt;=90),D24,0)</f>
        <v>0</v>
      </c>
      <c r="K24" s="28" t="n">
        <f aca="false">IF(F24&gt;90,D24,0)</f>
        <v>0</v>
      </c>
      <c r="L24" s="47" t="s">
        <v>1350</v>
      </c>
    </row>
    <row r="25" customFormat="false" ht="15" hidden="false" customHeight="false" outlineLevel="0" collapsed="false">
      <c r="A25" s="14" t="s">
        <v>1358</v>
      </c>
      <c r="B25" s="14" t="s">
        <v>1359</v>
      </c>
      <c r="C25" s="14" t="s">
        <v>1337</v>
      </c>
      <c r="D25" s="115" t="n">
        <v>6927.36</v>
      </c>
      <c r="E25" s="125" t="n">
        <v>46295</v>
      </c>
      <c r="F25" s="126" t="n">
        <f aca="false">MAX(0,$B$4-E25)</f>
        <v>0</v>
      </c>
      <c r="G25" s="28" t="n">
        <f aca="false">IF(E25&gt;=$B$4,D25,0)</f>
        <v>6927.36</v>
      </c>
      <c r="H25" s="28" t="n">
        <f aca="false">IF(AND(F25&gt;=1,F25&lt;=30),D25,0)</f>
        <v>0</v>
      </c>
      <c r="I25" s="28" t="n">
        <f aca="false">IF(AND(F25&gt;30,F25&lt;=60),D25,0)</f>
        <v>0</v>
      </c>
      <c r="J25" s="28" t="n">
        <f aca="false">IF(AND(F25&gt;60,F25&lt;=90),D25,0)</f>
        <v>0</v>
      </c>
      <c r="K25" s="28" t="n">
        <f aca="false">IF(F25&gt;90,D25,0)</f>
        <v>0</v>
      </c>
      <c r="L25" s="47" t="s">
        <v>1350</v>
      </c>
    </row>
    <row r="26" customFormat="false" ht="15" hidden="false" customHeight="false" outlineLevel="0" collapsed="false">
      <c r="A26" s="14" t="s">
        <v>1358</v>
      </c>
      <c r="B26" s="14" t="s">
        <v>1360</v>
      </c>
      <c r="C26" s="14" t="s">
        <v>1337</v>
      </c>
      <c r="D26" s="115" t="n">
        <v>4565.76</v>
      </c>
      <c r="E26" s="125" t="n">
        <v>46295</v>
      </c>
      <c r="F26" s="126" t="n">
        <f aca="false">MAX(0,$B$4-E26)</f>
        <v>0</v>
      </c>
      <c r="G26" s="28" t="n">
        <f aca="false">IF(E26&gt;=$B$4,D26,0)</f>
        <v>4565.76</v>
      </c>
      <c r="H26" s="28" t="n">
        <f aca="false">IF(AND(F26&gt;=1,F26&lt;=30),D26,0)</f>
        <v>0</v>
      </c>
      <c r="I26" s="28" t="n">
        <f aca="false">IF(AND(F26&gt;30,F26&lt;=60),D26,0)</f>
        <v>0</v>
      </c>
      <c r="J26" s="28" t="n">
        <f aca="false">IF(AND(F26&gt;60,F26&lt;=90),D26,0)</f>
        <v>0</v>
      </c>
      <c r="K26" s="28" t="n">
        <f aca="false">IF(F26&gt;90,D26,0)</f>
        <v>0</v>
      </c>
      <c r="L26" s="47" t="s">
        <v>1350</v>
      </c>
    </row>
    <row r="27" customFormat="false" ht="15" hidden="false" customHeight="false" outlineLevel="0" collapsed="false">
      <c r="A27" s="14" t="s">
        <v>1361</v>
      </c>
      <c r="B27" s="14" t="s">
        <v>1349</v>
      </c>
      <c r="C27" s="14" t="s">
        <v>1337</v>
      </c>
      <c r="D27" s="115" t="n">
        <v>5208.89</v>
      </c>
      <c r="E27" s="125" t="n">
        <v>46295</v>
      </c>
      <c r="F27" s="126" t="n">
        <f aca="false">MAX(0,$B$4-E27)</f>
        <v>0</v>
      </c>
      <c r="G27" s="28" t="n">
        <f aca="false">IF(E27&gt;=$B$4,D27,0)</f>
        <v>5208.89</v>
      </c>
      <c r="H27" s="28" t="n">
        <f aca="false">IF(AND(F27&gt;=1,F27&lt;=30),D27,0)</f>
        <v>0</v>
      </c>
      <c r="I27" s="28" t="n">
        <f aca="false">IF(AND(F27&gt;30,F27&lt;=60),D27,0)</f>
        <v>0</v>
      </c>
      <c r="J27" s="28" t="n">
        <f aca="false">IF(AND(F27&gt;60,F27&lt;=90),D27,0)</f>
        <v>0</v>
      </c>
      <c r="K27" s="28" t="n">
        <f aca="false">IF(F27&gt;90,D27,0)</f>
        <v>0</v>
      </c>
      <c r="L27" s="47" t="s">
        <v>1350</v>
      </c>
    </row>
    <row r="28" customFormat="false" ht="15" hidden="false" customHeight="false" outlineLevel="0" collapsed="false">
      <c r="A28" s="14" t="s">
        <v>1362</v>
      </c>
      <c r="B28" s="14" t="s">
        <v>1363</v>
      </c>
      <c r="C28" s="14" t="s">
        <v>1337</v>
      </c>
      <c r="D28" s="115" t="n">
        <v>17712</v>
      </c>
      <c r="E28" s="125" t="n">
        <v>46295</v>
      </c>
      <c r="F28" s="126" t="n">
        <f aca="false">MAX(0,$B$4-E28)</f>
        <v>0</v>
      </c>
      <c r="G28" s="28" t="n">
        <f aca="false">IF(E28&gt;=$B$4,D28,0)</f>
        <v>17712</v>
      </c>
      <c r="H28" s="28" t="n">
        <f aca="false">IF(AND(F28&gt;=1,F28&lt;=30),D28,0)</f>
        <v>0</v>
      </c>
      <c r="I28" s="28" t="n">
        <f aca="false">IF(AND(F28&gt;30,F28&lt;=60),D28,0)</f>
        <v>0</v>
      </c>
      <c r="J28" s="28" t="n">
        <f aca="false">IF(AND(F28&gt;60,F28&lt;=90),D28,0)</f>
        <v>0</v>
      </c>
      <c r="K28" s="28" t="n">
        <f aca="false">IF(F28&gt;90,D28,0)</f>
        <v>0</v>
      </c>
      <c r="L28" s="47" t="s">
        <v>1350</v>
      </c>
    </row>
    <row r="29" customFormat="false" ht="15" hidden="false" customHeight="false" outlineLevel="0" collapsed="false">
      <c r="A29" s="14" t="s">
        <v>1364</v>
      </c>
      <c r="B29" s="14" t="s">
        <v>1349</v>
      </c>
      <c r="C29" s="14" t="s">
        <v>1337</v>
      </c>
      <c r="D29" s="115" t="n">
        <v>5860.64</v>
      </c>
      <c r="E29" s="125" t="n">
        <v>46295</v>
      </c>
      <c r="F29" s="126" t="n">
        <f aca="false">MAX(0,$B$4-E29)</f>
        <v>0</v>
      </c>
      <c r="G29" s="28" t="n">
        <f aca="false">IF(E29&gt;=$B$4,D29,0)</f>
        <v>5860.64</v>
      </c>
      <c r="H29" s="28" t="n">
        <f aca="false">IF(AND(F29&gt;=1,F29&lt;=30),D29,0)</f>
        <v>0</v>
      </c>
      <c r="I29" s="28" t="n">
        <f aca="false">IF(AND(F29&gt;30,F29&lt;=60),D29,0)</f>
        <v>0</v>
      </c>
      <c r="J29" s="28" t="n">
        <f aca="false">IF(AND(F29&gt;60,F29&lt;=90),D29,0)</f>
        <v>0</v>
      </c>
      <c r="K29" s="28" t="n">
        <f aca="false">IF(F29&gt;90,D29,0)</f>
        <v>0</v>
      </c>
      <c r="L29" s="47" t="s">
        <v>1350</v>
      </c>
    </row>
    <row r="30" customFormat="false" ht="15" hidden="false" customHeight="false" outlineLevel="0" collapsed="false">
      <c r="A30" s="14" t="s">
        <v>1364</v>
      </c>
      <c r="B30" s="14" t="s">
        <v>1355</v>
      </c>
      <c r="C30" s="14" t="s">
        <v>1337</v>
      </c>
      <c r="D30" s="115" t="n">
        <v>14312.49</v>
      </c>
      <c r="E30" s="125" t="n">
        <v>46295</v>
      </c>
      <c r="F30" s="126" t="n">
        <f aca="false">MAX(0,$B$4-E30)</f>
        <v>0</v>
      </c>
      <c r="G30" s="28" t="n">
        <f aca="false">IF(E30&gt;=$B$4,D30,0)</f>
        <v>14312.49</v>
      </c>
      <c r="H30" s="28" t="n">
        <f aca="false">IF(AND(F30&gt;=1,F30&lt;=30),D30,0)</f>
        <v>0</v>
      </c>
      <c r="I30" s="28" t="n">
        <f aca="false">IF(AND(F30&gt;30,F30&lt;=60),D30,0)</f>
        <v>0</v>
      </c>
      <c r="J30" s="28" t="n">
        <f aca="false">IF(AND(F30&gt;60,F30&lt;=90),D30,0)</f>
        <v>0</v>
      </c>
      <c r="K30" s="28" t="n">
        <f aca="false">IF(F30&gt;90,D30,0)</f>
        <v>0</v>
      </c>
      <c r="L30" s="47" t="s">
        <v>1350</v>
      </c>
    </row>
    <row r="31" customFormat="false" ht="15" hidden="false" customHeight="false" outlineLevel="0" collapsed="false">
      <c r="A31" s="14" t="s">
        <v>1365</v>
      </c>
      <c r="B31" s="14" t="s">
        <v>1349</v>
      </c>
      <c r="C31" s="14" t="s">
        <v>1337</v>
      </c>
      <c r="D31" s="115" t="n">
        <v>8950.12</v>
      </c>
      <c r="E31" s="125" t="n">
        <v>46295</v>
      </c>
      <c r="F31" s="126" t="n">
        <f aca="false">MAX(0,$B$4-E31)</f>
        <v>0</v>
      </c>
      <c r="G31" s="28" t="n">
        <f aca="false">IF(E31&gt;=$B$4,D31,0)</f>
        <v>8950.12</v>
      </c>
      <c r="H31" s="28" t="n">
        <f aca="false">IF(AND(F31&gt;=1,F31&lt;=30),D31,0)</f>
        <v>0</v>
      </c>
      <c r="I31" s="28" t="n">
        <f aca="false">IF(AND(F31&gt;30,F31&lt;=60),D31,0)</f>
        <v>0</v>
      </c>
      <c r="J31" s="28" t="n">
        <f aca="false">IF(AND(F31&gt;60,F31&lt;=90),D31,0)</f>
        <v>0</v>
      </c>
      <c r="K31" s="28" t="n">
        <f aca="false">IF(F31&gt;90,D31,0)</f>
        <v>0</v>
      </c>
      <c r="L31" s="47" t="s">
        <v>1350</v>
      </c>
    </row>
    <row r="32" customFormat="false" ht="15" hidden="false" customHeight="false" outlineLevel="0" collapsed="false">
      <c r="A32" s="14" t="s">
        <v>1365</v>
      </c>
      <c r="B32" s="14" t="s">
        <v>1366</v>
      </c>
      <c r="C32" s="14" t="s">
        <v>1337</v>
      </c>
      <c r="D32" s="115" t="n">
        <v>18696</v>
      </c>
      <c r="E32" s="125" t="n">
        <v>46295</v>
      </c>
      <c r="F32" s="126" t="n">
        <f aca="false">MAX(0,$B$4-E32)</f>
        <v>0</v>
      </c>
      <c r="G32" s="28" t="n">
        <f aca="false">IF(E32&gt;=$B$4,D32,0)</f>
        <v>18696</v>
      </c>
      <c r="H32" s="28" t="n">
        <f aca="false">IF(AND(F32&gt;=1,F32&lt;=30),D32,0)</f>
        <v>0</v>
      </c>
      <c r="I32" s="28" t="n">
        <f aca="false">IF(AND(F32&gt;30,F32&lt;=60),D32,0)</f>
        <v>0</v>
      </c>
      <c r="J32" s="28" t="n">
        <f aca="false">IF(AND(F32&gt;60,F32&lt;=90),D32,0)</f>
        <v>0</v>
      </c>
      <c r="K32" s="28" t="n">
        <f aca="false">IF(F32&gt;90,D32,0)</f>
        <v>0</v>
      </c>
      <c r="L32" s="47" t="s">
        <v>1350</v>
      </c>
    </row>
    <row r="33" customFormat="false" ht="15" hidden="false" customHeight="false" outlineLevel="0" collapsed="false">
      <c r="A33" s="14" t="s">
        <v>1367</v>
      </c>
      <c r="B33" s="14" t="s">
        <v>1349</v>
      </c>
      <c r="C33" s="14" t="s">
        <v>1337</v>
      </c>
      <c r="D33" s="115" t="n">
        <v>4132.79</v>
      </c>
      <c r="E33" s="125" t="n">
        <v>46295</v>
      </c>
      <c r="F33" s="126" t="n">
        <f aca="false">MAX(0,$B$4-E33)</f>
        <v>0</v>
      </c>
      <c r="G33" s="28" t="n">
        <f aca="false">IF(E33&gt;=$B$4,D33,0)</f>
        <v>4132.79</v>
      </c>
      <c r="H33" s="28" t="n">
        <f aca="false">IF(AND(F33&gt;=1,F33&lt;=30),D33,0)</f>
        <v>0</v>
      </c>
      <c r="I33" s="28" t="n">
        <f aca="false">IF(AND(F33&gt;30,F33&lt;=60),D33,0)</f>
        <v>0</v>
      </c>
      <c r="J33" s="28" t="n">
        <f aca="false">IF(AND(F33&gt;60,F33&lt;=90),D33,0)</f>
        <v>0</v>
      </c>
      <c r="K33" s="28" t="n">
        <f aca="false">IF(F33&gt;90,D33,0)</f>
        <v>0</v>
      </c>
      <c r="L33" s="47" t="s">
        <v>1350</v>
      </c>
    </row>
    <row r="34" customFormat="false" ht="15" hidden="false" customHeight="false" outlineLevel="0" collapsed="false">
      <c r="A34" s="14" t="s">
        <v>1367</v>
      </c>
      <c r="B34" s="14" t="s">
        <v>1355</v>
      </c>
      <c r="C34" s="14" t="s">
        <v>1337</v>
      </c>
      <c r="D34" s="115" t="n">
        <v>12700.57</v>
      </c>
      <c r="E34" s="125" t="n">
        <v>46295</v>
      </c>
      <c r="F34" s="126" t="n">
        <f aca="false">MAX(0,$B$4-E34)</f>
        <v>0</v>
      </c>
      <c r="G34" s="28" t="n">
        <f aca="false">IF(E34&gt;=$B$4,D34,0)</f>
        <v>12700.57</v>
      </c>
      <c r="H34" s="28" t="n">
        <f aca="false">IF(AND(F34&gt;=1,F34&lt;=30),D34,0)</f>
        <v>0</v>
      </c>
      <c r="I34" s="28" t="n">
        <f aca="false">IF(AND(F34&gt;30,F34&lt;=60),D34,0)</f>
        <v>0</v>
      </c>
      <c r="J34" s="28" t="n">
        <f aca="false">IF(AND(F34&gt;60,F34&lt;=90),D34,0)</f>
        <v>0</v>
      </c>
      <c r="K34" s="28" t="n">
        <f aca="false">IF(F34&gt;90,D34,0)</f>
        <v>0</v>
      </c>
      <c r="L34" s="47" t="s">
        <v>1350</v>
      </c>
    </row>
    <row r="35" customFormat="false" ht="15" hidden="false" customHeight="false" outlineLevel="0" collapsed="false">
      <c r="A35" s="14" t="s">
        <v>1368</v>
      </c>
      <c r="B35" s="14" t="s">
        <v>1349</v>
      </c>
      <c r="C35" s="14" t="s">
        <v>1337</v>
      </c>
      <c r="D35" s="115" t="n">
        <v>9958.27</v>
      </c>
      <c r="E35" s="125" t="n">
        <v>46295</v>
      </c>
      <c r="F35" s="126" t="n">
        <f aca="false">MAX(0,$B$4-E35)</f>
        <v>0</v>
      </c>
      <c r="G35" s="28" t="n">
        <f aca="false">IF(E35&gt;=$B$4,D35,0)</f>
        <v>9958.27</v>
      </c>
      <c r="H35" s="28" t="n">
        <f aca="false">IF(AND(F35&gt;=1,F35&lt;=30),D35,0)</f>
        <v>0</v>
      </c>
      <c r="I35" s="28" t="n">
        <f aca="false">IF(AND(F35&gt;30,F35&lt;=60),D35,0)</f>
        <v>0</v>
      </c>
      <c r="J35" s="28" t="n">
        <f aca="false">IF(AND(F35&gt;60,F35&lt;=90),D35,0)</f>
        <v>0</v>
      </c>
      <c r="K35" s="28" t="n">
        <f aca="false">IF(F35&gt;90,D35,0)</f>
        <v>0</v>
      </c>
      <c r="L35" s="47" t="s">
        <v>1350</v>
      </c>
    </row>
    <row r="36" customFormat="false" ht="15" hidden="false" customHeight="false" outlineLevel="0" collapsed="false">
      <c r="A36" s="14" t="s">
        <v>1368</v>
      </c>
      <c r="B36" s="14" t="s">
        <v>1355</v>
      </c>
      <c r="C36" s="14" t="s">
        <v>1337</v>
      </c>
      <c r="D36" s="115" t="n">
        <v>6707.15</v>
      </c>
      <c r="E36" s="125" t="n">
        <v>46295</v>
      </c>
      <c r="F36" s="126" t="n">
        <f aca="false">MAX(0,$B$4-E36)</f>
        <v>0</v>
      </c>
      <c r="G36" s="28" t="n">
        <f aca="false">IF(E36&gt;=$B$4,D36,0)</f>
        <v>6707.15</v>
      </c>
      <c r="H36" s="28" t="n">
        <f aca="false">IF(AND(F36&gt;=1,F36&lt;=30),D36,0)</f>
        <v>0</v>
      </c>
      <c r="I36" s="28" t="n">
        <f aca="false">IF(AND(F36&gt;30,F36&lt;=60),D36,0)</f>
        <v>0</v>
      </c>
      <c r="J36" s="28" t="n">
        <f aca="false">IF(AND(F36&gt;60,F36&lt;=90),D36,0)</f>
        <v>0</v>
      </c>
      <c r="K36" s="28" t="n">
        <f aca="false">IF(F36&gt;90,D36,0)</f>
        <v>0</v>
      </c>
      <c r="L36" s="47" t="s">
        <v>1350</v>
      </c>
    </row>
    <row r="37" customFormat="false" ht="15" hidden="false" customHeight="false" outlineLevel="0" collapsed="false">
      <c r="A37" s="14" t="s">
        <v>1369</v>
      </c>
      <c r="B37" s="14" t="s">
        <v>1349</v>
      </c>
      <c r="C37" s="14" t="s">
        <v>1337</v>
      </c>
      <c r="D37" s="115" t="n">
        <v>8906.36</v>
      </c>
      <c r="E37" s="125" t="n">
        <v>46295</v>
      </c>
      <c r="F37" s="126" t="n">
        <f aca="false">MAX(0,$B$4-E37)</f>
        <v>0</v>
      </c>
      <c r="G37" s="28" t="n">
        <f aca="false">IF(E37&gt;=$B$4,D37,0)</f>
        <v>8906.36</v>
      </c>
      <c r="H37" s="28" t="n">
        <f aca="false">IF(AND(F37&gt;=1,F37&lt;=30),D37,0)</f>
        <v>0</v>
      </c>
      <c r="I37" s="28" t="n">
        <f aca="false">IF(AND(F37&gt;30,F37&lt;=60),D37,0)</f>
        <v>0</v>
      </c>
      <c r="J37" s="28" t="n">
        <f aca="false">IF(AND(F37&gt;60,F37&lt;=90),D37,0)</f>
        <v>0</v>
      </c>
      <c r="K37" s="28" t="n">
        <f aca="false">IF(F37&gt;90,D37,0)</f>
        <v>0</v>
      </c>
      <c r="L37" s="47" t="s">
        <v>1350</v>
      </c>
    </row>
    <row r="38" customFormat="false" ht="15" hidden="false" customHeight="false" outlineLevel="0" collapsed="false">
      <c r="A38" s="14" t="s">
        <v>1370</v>
      </c>
      <c r="B38" s="14" t="s">
        <v>1349</v>
      </c>
      <c r="C38" s="14" t="s">
        <v>1337</v>
      </c>
      <c r="D38" s="115" t="n">
        <v>8230.87</v>
      </c>
      <c r="E38" s="125" t="n">
        <v>46310</v>
      </c>
      <c r="F38" s="126" t="n">
        <f aca="false">MAX(0,$B$4-E38)</f>
        <v>0</v>
      </c>
      <c r="G38" s="28" t="n">
        <f aca="false">IF(E38&gt;=$B$4,D38,0)</f>
        <v>8230.87</v>
      </c>
      <c r="H38" s="28" t="n">
        <f aca="false">IF(AND(F38&gt;=1,F38&lt;=30),D38,0)</f>
        <v>0</v>
      </c>
      <c r="I38" s="28" t="n">
        <f aca="false">IF(AND(F38&gt;30,F38&lt;=60),D38,0)</f>
        <v>0</v>
      </c>
      <c r="J38" s="28" t="n">
        <f aca="false">IF(AND(F38&gt;60,F38&lt;=90),D38,0)</f>
        <v>0</v>
      </c>
      <c r="K38" s="28" t="n">
        <f aca="false">IF(F38&gt;90,D38,0)</f>
        <v>0</v>
      </c>
      <c r="L38" s="47" t="s">
        <v>1338</v>
      </c>
    </row>
    <row r="39" customFormat="false" ht="15" hidden="false" customHeight="false" outlineLevel="0" collapsed="false">
      <c r="A39" s="14" t="s">
        <v>1335</v>
      </c>
      <c r="B39" s="14" t="s">
        <v>1349</v>
      </c>
      <c r="C39" s="14" t="s">
        <v>1337</v>
      </c>
      <c r="D39" s="115" t="n">
        <v>36138.5</v>
      </c>
      <c r="E39" s="125" t="n">
        <v>46310</v>
      </c>
      <c r="F39" s="126" t="n">
        <f aca="false">MAX(0,$B$4-E39)</f>
        <v>0</v>
      </c>
      <c r="G39" s="28" t="n">
        <f aca="false">IF(E39&gt;=$B$4,D39,0)</f>
        <v>36138.5</v>
      </c>
      <c r="H39" s="28" t="n">
        <f aca="false">IF(AND(F39&gt;=1,F39&lt;=30),D39,0)</f>
        <v>0</v>
      </c>
      <c r="I39" s="28" t="n">
        <f aca="false">IF(AND(F39&gt;30,F39&lt;=60),D39,0)</f>
        <v>0</v>
      </c>
      <c r="J39" s="28" t="n">
        <f aca="false">IF(AND(F39&gt;60,F39&lt;=90),D39,0)</f>
        <v>0</v>
      </c>
      <c r="K39" s="28" t="n">
        <f aca="false">IF(F39&gt;90,D39,0)</f>
        <v>0</v>
      </c>
      <c r="L39" s="47" t="s">
        <v>1338</v>
      </c>
    </row>
    <row r="40" customFormat="false" ht="15" hidden="false" customHeight="false" outlineLevel="0" collapsed="false">
      <c r="A40" s="14" t="s">
        <v>1339</v>
      </c>
      <c r="B40" s="14" t="s">
        <v>1349</v>
      </c>
      <c r="C40" s="14" t="s">
        <v>1337</v>
      </c>
      <c r="D40" s="115" t="n">
        <v>10276.26</v>
      </c>
      <c r="E40" s="125" t="n">
        <v>46310</v>
      </c>
      <c r="F40" s="126" t="n">
        <f aca="false">MAX(0,$B$4-E40)</f>
        <v>0</v>
      </c>
      <c r="G40" s="28" t="n">
        <f aca="false">IF(E40&gt;=$B$4,D40,0)</f>
        <v>10276.26</v>
      </c>
      <c r="H40" s="28" t="n">
        <f aca="false">IF(AND(F40&gt;=1,F40&lt;=30),D40,0)</f>
        <v>0</v>
      </c>
      <c r="I40" s="28" t="n">
        <f aca="false">IF(AND(F40&gt;30,F40&lt;=60),D40,0)</f>
        <v>0</v>
      </c>
      <c r="J40" s="28" t="n">
        <f aca="false">IF(AND(F40&gt;60,F40&lt;=90),D40,0)</f>
        <v>0</v>
      </c>
      <c r="K40" s="28" t="n">
        <f aca="false">IF(F40&gt;90,D40,0)</f>
        <v>0</v>
      </c>
      <c r="L40" s="47" t="s">
        <v>1338</v>
      </c>
    </row>
    <row r="41" customFormat="false" ht="15" hidden="false" customHeight="false" outlineLevel="0" collapsed="false">
      <c r="A41" s="14" t="s">
        <v>1339</v>
      </c>
      <c r="B41" s="14" t="s">
        <v>1371</v>
      </c>
      <c r="C41" s="14" t="s">
        <v>1337</v>
      </c>
      <c r="D41" s="115" t="n">
        <v>16607.88</v>
      </c>
      <c r="E41" s="125" t="n">
        <v>46310</v>
      </c>
      <c r="F41" s="126" t="n">
        <f aca="false">MAX(0,$B$4-E41)</f>
        <v>0</v>
      </c>
      <c r="G41" s="28" t="n">
        <f aca="false">IF(E41&gt;=$B$4,D41,0)</f>
        <v>16607.88</v>
      </c>
      <c r="H41" s="28" t="n">
        <f aca="false">IF(AND(F41&gt;=1,F41&lt;=30),D41,0)</f>
        <v>0</v>
      </c>
      <c r="I41" s="28" t="n">
        <f aca="false">IF(AND(F41&gt;30,F41&lt;=60),D41,0)</f>
        <v>0</v>
      </c>
      <c r="J41" s="28" t="n">
        <f aca="false">IF(AND(F41&gt;60,F41&lt;=90),D41,0)</f>
        <v>0</v>
      </c>
      <c r="K41" s="28" t="n">
        <f aca="false">IF(F41&gt;90,D41,0)</f>
        <v>0</v>
      </c>
      <c r="L41" s="47" t="s">
        <v>1338</v>
      </c>
    </row>
    <row r="42" customFormat="false" ht="15" hidden="false" customHeight="false" outlineLevel="0" collapsed="false">
      <c r="A42" s="14" t="s">
        <v>1352</v>
      </c>
      <c r="B42" s="14" t="s">
        <v>1371</v>
      </c>
      <c r="C42" s="14" t="s">
        <v>1337</v>
      </c>
      <c r="D42" s="115" t="n">
        <v>11831.09</v>
      </c>
      <c r="E42" s="125" t="n">
        <v>46310</v>
      </c>
      <c r="F42" s="126" t="n">
        <f aca="false">MAX(0,$B$4-E42)</f>
        <v>0</v>
      </c>
      <c r="G42" s="28" t="n">
        <f aca="false">IF(E42&gt;=$B$4,D42,0)</f>
        <v>11831.09</v>
      </c>
      <c r="H42" s="28" t="n">
        <f aca="false">IF(AND(F42&gt;=1,F42&lt;=30),D42,0)</f>
        <v>0</v>
      </c>
      <c r="I42" s="28" t="n">
        <f aca="false">IF(AND(F42&gt;30,F42&lt;=60),D42,0)</f>
        <v>0</v>
      </c>
      <c r="J42" s="28" t="n">
        <f aca="false">IF(AND(F42&gt;60,F42&lt;=90),D42,0)</f>
        <v>0</v>
      </c>
      <c r="K42" s="28" t="n">
        <f aca="false">IF(F42&gt;90,D42,0)</f>
        <v>0</v>
      </c>
      <c r="L42" s="47" t="s">
        <v>1338</v>
      </c>
    </row>
    <row r="43" customFormat="false" ht="15" hidden="false" customHeight="false" outlineLevel="0" collapsed="false">
      <c r="A43" s="14" t="s">
        <v>1353</v>
      </c>
      <c r="B43" s="14" t="s">
        <v>1371</v>
      </c>
      <c r="C43" s="14" t="s">
        <v>1337</v>
      </c>
      <c r="D43" s="115" t="n">
        <v>24686.58</v>
      </c>
      <c r="E43" s="125" t="n">
        <v>46310</v>
      </c>
      <c r="F43" s="126" t="n">
        <f aca="false">MAX(0,$B$4-E43)</f>
        <v>0</v>
      </c>
      <c r="G43" s="28" t="n">
        <f aca="false">IF(E43&gt;=$B$4,D43,0)</f>
        <v>24686.58</v>
      </c>
      <c r="H43" s="28" t="n">
        <f aca="false">IF(AND(F43&gt;=1,F43&lt;=30),D43,0)</f>
        <v>0</v>
      </c>
      <c r="I43" s="28" t="n">
        <f aca="false">IF(AND(F43&gt;30,F43&lt;=60),D43,0)</f>
        <v>0</v>
      </c>
      <c r="J43" s="28" t="n">
        <f aca="false">IF(AND(F43&gt;60,F43&lt;=90),D43,0)</f>
        <v>0</v>
      </c>
      <c r="K43" s="28" t="n">
        <f aca="false">IF(F43&gt;90,D43,0)</f>
        <v>0</v>
      </c>
      <c r="L43" s="47" t="s">
        <v>1338</v>
      </c>
    </row>
    <row r="44" customFormat="false" ht="15" hidden="false" customHeight="false" outlineLevel="0" collapsed="false">
      <c r="A44" s="14" t="s">
        <v>1372</v>
      </c>
      <c r="B44" s="14" t="s">
        <v>1349</v>
      </c>
      <c r="C44" s="14" t="s">
        <v>1337</v>
      </c>
      <c r="D44" s="115" t="n">
        <v>11524.35</v>
      </c>
      <c r="E44" s="125" t="n">
        <v>46310</v>
      </c>
      <c r="F44" s="126" t="n">
        <f aca="false">MAX(0,$B$4-E44)</f>
        <v>0</v>
      </c>
      <c r="G44" s="28" t="n">
        <f aca="false">IF(E44&gt;=$B$4,D44,0)</f>
        <v>11524.35</v>
      </c>
      <c r="H44" s="28" t="n">
        <f aca="false">IF(AND(F44&gt;=1,F44&lt;=30),D44,0)</f>
        <v>0</v>
      </c>
      <c r="I44" s="28" t="n">
        <f aca="false">IF(AND(F44&gt;30,F44&lt;=60),D44,0)</f>
        <v>0</v>
      </c>
      <c r="J44" s="28" t="n">
        <f aca="false">IF(AND(F44&gt;60,F44&lt;=90),D44,0)</f>
        <v>0</v>
      </c>
      <c r="K44" s="28" t="n">
        <f aca="false">IF(F44&gt;90,D44,0)</f>
        <v>0</v>
      </c>
      <c r="L44" s="47" t="s">
        <v>1338</v>
      </c>
    </row>
    <row r="45" customFormat="false" ht="15" hidden="false" customHeight="false" outlineLevel="0" collapsed="false">
      <c r="A45" s="14" t="s">
        <v>1372</v>
      </c>
      <c r="B45" s="14" t="s">
        <v>1371</v>
      </c>
      <c r="C45" s="14" t="s">
        <v>1337</v>
      </c>
      <c r="D45" s="115" t="n">
        <v>14571.43</v>
      </c>
      <c r="E45" s="125" t="n">
        <v>46310</v>
      </c>
      <c r="F45" s="126" t="n">
        <f aca="false">MAX(0,$B$4-E45)</f>
        <v>0</v>
      </c>
      <c r="G45" s="28" t="n">
        <f aca="false">IF(E45&gt;=$B$4,D45,0)</f>
        <v>14571.43</v>
      </c>
      <c r="H45" s="28" t="n">
        <f aca="false">IF(AND(F45&gt;=1,F45&lt;=30),D45,0)</f>
        <v>0</v>
      </c>
      <c r="I45" s="28" t="n">
        <f aca="false">IF(AND(F45&gt;30,F45&lt;=60),D45,0)</f>
        <v>0</v>
      </c>
      <c r="J45" s="28" t="n">
        <f aca="false">IF(AND(F45&gt;60,F45&lt;=90),D45,0)</f>
        <v>0</v>
      </c>
      <c r="K45" s="28" t="n">
        <f aca="false">IF(F45&gt;90,D45,0)</f>
        <v>0</v>
      </c>
      <c r="L45" s="47" t="s">
        <v>1338</v>
      </c>
    </row>
    <row r="46" customFormat="false" ht="15" hidden="false" customHeight="false" outlineLevel="0" collapsed="false">
      <c r="A46" s="14" t="s">
        <v>1342</v>
      </c>
      <c r="B46" s="14" t="s">
        <v>1371</v>
      </c>
      <c r="C46" s="14" t="s">
        <v>1337</v>
      </c>
      <c r="D46" s="115" t="n">
        <v>13413.05</v>
      </c>
      <c r="E46" s="125" t="n">
        <v>46310</v>
      </c>
      <c r="F46" s="126" t="n">
        <f aca="false">MAX(0,$B$4-E46)</f>
        <v>0</v>
      </c>
      <c r="G46" s="28" t="n">
        <f aca="false">IF(E46&gt;=$B$4,D46,0)</f>
        <v>13413.05</v>
      </c>
      <c r="H46" s="28" t="n">
        <f aca="false">IF(AND(F46&gt;=1,F46&lt;=30),D46,0)</f>
        <v>0</v>
      </c>
      <c r="I46" s="28" t="n">
        <f aca="false">IF(AND(F46&gt;30,F46&lt;=60),D46,0)</f>
        <v>0</v>
      </c>
      <c r="J46" s="28" t="n">
        <f aca="false">IF(AND(F46&gt;60,F46&lt;=90),D46,0)</f>
        <v>0</v>
      </c>
      <c r="K46" s="28" t="n">
        <f aca="false">IF(F46&gt;90,D46,0)</f>
        <v>0</v>
      </c>
      <c r="L46" s="47" t="s">
        <v>1338</v>
      </c>
    </row>
    <row r="47" customFormat="false" ht="15" hidden="false" customHeight="false" outlineLevel="0" collapsed="false">
      <c r="A47" s="14" t="s">
        <v>1356</v>
      </c>
      <c r="B47" s="14" t="s">
        <v>1371</v>
      </c>
      <c r="C47" s="14" t="s">
        <v>1337</v>
      </c>
      <c r="D47" s="115" t="n">
        <v>13057.53</v>
      </c>
      <c r="E47" s="125" t="n">
        <v>46310</v>
      </c>
      <c r="F47" s="126" t="n">
        <f aca="false">MAX(0,$B$4-E47)</f>
        <v>0</v>
      </c>
      <c r="G47" s="28" t="n">
        <f aca="false">IF(E47&gt;=$B$4,D47,0)</f>
        <v>13057.53</v>
      </c>
      <c r="H47" s="28" t="n">
        <f aca="false">IF(AND(F47&gt;=1,F47&lt;=30),D47,0)</f>
        <v>0</v>
      </c>
      <c r="I47" s="28" t="n">
        <f aca="false">IF(AND(F47&gt;30,F47&lt;=60),D47,0)</f>
        <v>0</v>
      </c>
      <c r="J47" s="28" t="n">
        <f aca="false">IF(AND(F47&gt;60,F47&lt;=90),D47,0)</f>
        <v>0</v>
      </c>
      <c r="K47" s="28" t="n">
        <f aca="false">IF(F47&gt;90,D47,0)</f>
        <v>0</v>
      </c>
      <c r="L47" s="47" t="s">
        <v>1338</v>
      </c>
    </row>
    <row r="48" customFormat="false" ht="15" hidden="false" customHeight="false" outlineLevel="0" collapsed="false">
      <c r="A48" s="14" t="s">
        <v>1373</v>
      </c>
      <c r="B48" s="14" t="s">
        <v>1349</v>
      </c>
      <c r="C48" s="14" t="s">
        <v>1337</v>
      </c>
      <c r="D48" s="115" t="n">
        <v>6401.07</v>
      </c>
      <c r="E48" s="125" t="n">
        <v>46310</v>
      </c>
      <c r="F48" s="126" t="n">
        <f aca="false">MAX(0,$B$4-E48)</f>
        <v>0</v>
      </c>
      <c r="G48" s="28" t="n">
        <f aca="false">IF(E48&gt;=$B$4,D48,0)</f>
        <v>6401.07</v>
      </c>
      <c r="H48" s="28" t="n">
        <f aca="false">IF(AND(F48&gt;=1,F48&lt;=30),D48,0)</f>
        <v>0</v>
      </c>
      <c r="I48" s="28" t="n">
        <f aca="false">IF(AND(F48&gt;30,F48&lt;=60),D48,0)</f>
        <v>0</v>
      </c>
      <c r="J48" s="28" t="n">
        <f aca="false">IF(AND(F48&gt;60,F48&lt;=90),D48,0)</f>
        <v>0</v>
      </c>
      <c r="K48" s="28" t="n">
        <f aca="false">IF(F48&gt;90,D48,0)</f>
        <v>0</v>
      </c>
      <c r="L48" s="47" t="s">
        <v>1338</v>
      </c>
    </row>
    <row r="49" customFormat="false" ht="15" hidden="false" customHeight="false" outlineLevel="0" collapsed="false">
      <c r="A49" s="14" t="s">
        <v>1374</v>
      </c>
      <c r="B49" s="14" t="s">
        <v>1349</v>
      </c>
      <c r="C49" s="14" t="s">
        <v>1337</v>
      </c>
      <c r="D49" s="115" t="n">
        <v>11504.02</v>
      </c>
      <c r="E49" s="125" t="n">
        <v>46310</v>
      </c>
      <c r="F49" s="126" t="n">
        <f aca="false">MAX(0,$B$4-E49)</f>
        <v>0</v>
      </c>
      <c r="G49" s="28" t="n">
        <f aca="false">IF(E49&gt;=$B$4,D49,0)</f>
        <v>11504.02</v>
      </c>
      <c r="H49" s="28" t="n">
        <f aca="false">IF(AND(F49&gt;=1,F49&lt;=30),D49,0)</f>
        <v>0</v>
      </c>
      <c r="I49" s="28" t="n">
        <f aca="false">IF(AND(F49&gt;30,F49&lt;=60),D49,0)</f>
        <v>0</v>
      </c>
      <c r="J49" s="28" t="n">
        <f aca="false">IF(AND(F49&gt;60,F49&lt;=90),D49,0)</f>
        <v>0</v>
      </c>
      <c r="K49" s="28" t="n">
        <f aca="false">IF(F49&gt;90,D49,0)</f>
        <v>0</v>
      </c>
      <c r="L49" s="47" t="s">
        <v>1338</v>
      </c>
    </row>
    <row r="50" customFormat="false" ht="15" hidden="false" customHeight="false" outlineLevel="0" collapsed="false">
      <c r="A50" s="14" t="s">
        <v>1362</v>
      </c>
      <c r="B50" s="14" t="s">
        <v>1349</v>
      </c>
      <c r="C50" s="14" t="s">
        <v>1337</v>
      </c>
      <c r="D50" s="115" t="n">
        <v>9886.95</v>
      </c>
      <c r="E50" s="125" t="n">
        <v>46310</v>
      </c>
      <c r="F50" s="126" t="n">
        <f aca="false">MAX(0,$B$4-E50)</f>
        <v>0</v>
      </c>
      <c r="G50" s="28" t="n">
        <f aca="false">IF(E50&gt;=$B$4,D50,0)</f>
        <v>9886.95</v>
      </c>
      <c r="H50" s="28" t="n">
        <f aca="false">IF(AND(F50&gt;=1,F50&lt;=30),D50,0)</f>
        <v>0</v>
      </c>
      <c r="I50" s="28" t="n">
        <f aca="false">IF(AND(F50&gt;30,F50&lt;=60),D50,0)</f>
        <v>0</v>
      </c>
      <c r="J50" s="28" t="n">
        <f aca="false">IF(AND(F50&gt;60,F50&lt;=90),D50,0)</f>
        <v>0</v>
      </c>
      <c r="K50" s="28" t="n">
        <f aca="false">IF(F50&gt;90,D50,0)</f>
        <v>0</v>
      </c>
      <c r="L50" s="47" t="s">
        <v>1338</v>
      </c>
    </row>
    <row r="51" customFormat="false" ht="15" hidden="false" customHeight="false" outlineLevel="0" collapsed="false">
      <c r="A51" s="14" t="s">
        <v>1362</v>
      </c>
      <c r="B51" s="14" t="s">
        <v>1371</v>
      </c>
      <c r="C51" s="14" t="s">
        <v>1337</v>
      </c>
      <c r="D51" s="115" t="n">
        <v>10900.24</v>
      </c>
      <c r="E51" s="125" t="n">
        <v>46310</v>
      </c>
      <c r="F51" s="126" t="n">
        <f aca="false">MAX(0,$B$4-E51)</f>
        <v>0</v>
      </c>
      <c r="G51" s="28" t="n">
        <f aca="false">IF(E51&gt;=$B$4,D51,0)</f>
        <v>10900.24</v>
      </c>
      <c r="H51" s="28" t="n">
        <f aca="false">IF(AND(F51&gt;=1,F51&lt;=30),D51,0)</f>
        <v>0</v>
      </c>
      <c r="I51" s="28" t="n">
        <f aca="false">IF(AND(F51&gt;30,F51&lt;=60),D51,0)</f>
        <v>0</v>
      </c>
      <c r="J51" s="28" t="n">
        <f aca="false">IF(AND(F51&gt;60,F51&lt;=90),D51,0)</f>
        <v>0</v>
      </c>
      <c r="K51" s="28" t="n">
        <f aca="false">IF(F51&gt;90,D51,0)</f>
        <v>0</v>
      </c>
      <c r="L51" s="47" t="s">
        <v>1338</v>
      </c>
    </row>
    <row r="52" customFormat="false" ht="15" hidden="false" customHeight="false" outlineLevel="0" collapsed="false">
      <c r="A52" s="14" t="s">
        <v>1343</v>
      </c>
      <c r="B52" s="14" t="s">
        <v>1371</v>
      </c>
      <c r="C52" s="14" t="s">
        <v>1337</v>
      </c>
      <c r="D52" s="115" t="n">
        <v>25902.61</v>
      </c>
      <c r="E52" s="125" t="n">
        <v>46310</v>
      </c>
      <c r="F52" s="126" t="n">
        <f aca="false">MAX(0,$B$4-E52)</f>
        <v>0</v>
      </c>
      <c r="G52" s="28" t="n">
        <f aca="false">IF(E52&gt;=$B$4,D52,0)</f>
        <v>25902.61</v>
      </c>
      <c r="H52" s="28" t="n">
        <f aca="false">IF(AND(F52&gt;=1,F52&lt;=30),D52,0)</f>
        <v>0</v>
      </c>
      <c r="I52" s="28" t="n">
        <f aca="false">IF(AND(F52&gt;30,F52&lt;=60),D52,0)</f>
        <v>0</v>
      </c>
      <c r="J52" s="28" t="n">
        <f aca="false">IF(AND(F52&gt;60,F52&lt;=90),D52,0)</f>
        <v>0</v>
      </c>
      <c r="K52" s="28" t="n">
        <f aca="false">IF(F52&gt;90,D52,0)</f>
        <v>0</v>
      </c>
      <c r="L52" s="47" t="s">
        <v>1338</v>
      </c>
    </row>
    <row r="53" customFormat="false" ht="15" hidden="false" customHeight="false" outlineLevel="0" collapsed="false">
      <c r="A53" s="14" t="s">
        <v>1375</v>
      </c>
      <c r="B53" s="14" t="s">
        <v>1349</v>
      </c>
      <c r="C53" s="14" t="s">
        <v>1337</v>
      </c>
      <c r="D53" s="115" t="n">
        <v>12888.41</v>
      </c>
      <c r="E53" s="125" t="n">
        <v>46310</v>
      </c>
      <c r="F53" s="126" t="n">
        <f aca="false">MAX(0,$B$4-E53)</f>
        <v>0</v>
      </c>
      <c r="G53" s="28" t="n">
        <f aca="false">IF(E53&gt;=$B$4,D53,0)</f>
        <v>12888.41</v>
      </c>
      <c r="H53" s="28" t="n">
        <f aca="false">IF(AND(F53&gt;=1,F53&lt;=30),D53,0)</f>
        <v>0</v>
      </c>
      <c r="I53" s="28" t="n">
        <f aca="false">IF(AND(F53&gt;30,F53&lt;=60),D53,0)</f>
        <v>0</v>
      </c>
      <c r="J53" s="28" t="n">
        <f aca="false">IF(AND(F53&gt;60,F53&lt;=90),D53,0)</f>
        <v>0</v>
      </c>
      <c r="K53" s="28" t="n">
        <f aca="false">IF(F53&gt;90,D53,0)</f>
        <v>0</v>
      </c>
      <c r="L53" s="47" t="s">
        <v>1338</v>
      </c>
    </row>
    <row r="54" customFormat="false" ht="15" hidden="false" customHeight="false" outlineLevel="0" collapsed="false">
      <c r="A54" s="14" t="s">
        <v>1344</v>
      </c>
      <c r="B54" s="14" t="s">
        <v>1349</v>
      </c>
      <c r="C54" s="14" t="s">
        <v>1337</v>
      </c>
      <c r="D54" s="115" t="n">
        <v>12596.65</v>
      </c>
      <c r="E54" s="125" t="n">
        <v>46325</v>
      </c>
      <c r="F54" s="126" t="n">
        <f aca="false">MAX(0,$B$4-E54)</f>
        <v>0</v>
      </c>
      <c r="G54" s="28" t="n">
        <f aca="false">IF(E54&gt;=$B$4,D54,0)</f>
        <v>12596.65</v>
      </c>
      <c r="H54" s="28" t="n">
        <f aca="false">IF(AND(F54&gt;=1,F54&lt;=30),D54,0)</f>
        <v>0</v>
      </c>
      <c r="I54" s="28" t="n">
        <f aca="false">IF(AND(F54&gt;30,F54&lt;=60),D54,0)</f>
        <v>0</v>
      </c>
      <c r="J54" s="28" t="n">
        <f aca="false">IF(AND(F54&gt;60,F54&lt;=90),D54,0)</f>
        <v>0</v>
      </c>
      <c r="K54" s="28" t="n">
        <f aca="false">IF(F54&gt;90,D54,0)</f>
        <v>0</v>
      </c>
      <c r="L54" s="47" t="s">
        <v>1345</v>
      </c>
    </row>
    <row r="55" customFormat="false" ht="15" hidden="false" customHeight="false" outlineLevel="0" collapsed="false">
      <c r="A55" s="14" t="s">
        <v>1344</v>
      </c>
      <c r="B55" s="14" t="s">
        <v>1376</v>
      </c>
      <c r="C55" s="14" t="s">
        <v>1337</v>
      </c>
      <c r="D55" s="115" t="n">
        <v>7084.8</v>
      </c>
      <c r="E55" s="125" t="n">
        <v>46325</v>
      </c>
      <c r="F55" s="126" t="n">
        <f aca="false">MAX(0,$B$4-E55)</f>
        <v>0</v>
      </c>
      <c r="G55" s="28" t="n">
        <f aca="false">IF(E55&gt;=$B$4,D55,0)</f>
        <v>7084.8</v>
      </c>
      <c r="H55" s="28" t="n">
        <f aca="false">IF(AND(F55&gt;=1,F55&lt;=30),D55,0)</f>
        <v>0</v>
      </c>
      <c r="I55" s="28" t="n">
        <f aca="false">IF(AND(F55&gt;30,F55&lt;=60),D55,0)</f>
        <v>0</v>
      </c>
      <c r="J55" s="28" t="n">
        <f aca="false">IF(AND(F55&gt;60,F55&lt;=90),D55,0)</f>
        <v>0</v>
      </c>
      <c r="K55" s="28" t="n">
        <f aca="false">IF(F55&gt;90,D55,0)</f>
        <v>0</v>
      </c>
      <c r="L55" s="47" t="s">
        <v>1345</v>
      </c>
    </row>
    <row r="56" customFormat="false" ht="15" hidden="false" customHeight="false" outlineLevel="0" collapsed="false">
      <c r="A56" s="14" t="s">
        <v>1347</v>
      </c>
      <c r="B56" s="14" t="s">
        <v>1349</v>
      </c>
      <c r="C56" s="14" t="s">
        <v>1337</v>
      </c>
      <c r="D56" s="115" t="n">
        <v>13769.35</v>
      </c>
      <c r="E56" s="125" t="n">
        <v>46325</v>
      </c>
      <c r="F56" s="126" t="n">
        <f aca="false">MAX(0,$B$4-E56)</f>
        <v>0</v>
      </c>
      <c r="G56" s="28" t="n">
        <f aca="false">IF(E56&gt;=$B$4,D56,0)</f>
        <v>13769.35</v>
      </c>
      <c r="H56" s="28" t="n">
        <f aca="false">IF(AND(F56&gt;=1,F56&lt;=30),D56,0)</f>
        <v>0</v>
      </c>
      <c r="I56" s="28" t="n">
        <f aca="false">IF(AND(F56&gt;30,F56&lt;=60),D56,0)</f>
        <v>0</v>
      </c>
      <c r="J56" s="28" t="n">
        <f aca="false">IF(AND(F56&gt;60,F56&lt;=90),D56,0)</f>
        <v>0</v>
      </c>
      <c r="K56" s="28" t="n">
        <f aca="false">IF(F56&gt;90,D56,0)</f>
        <v>0</v>
      </c>
      <c r="L56" s="47" t="s">
        <v>1345</v>
      </c>
    </row>
    <row r="57" customFormat="false" ht="15" hidden="false" customHeight="false" outlineLevel="0" collapsed="false">
      <c r="A57" s="14" t="s">
        <v>1343</v>
      </c>
      <c r="B57" s="14" t="s">
        <v>1349</v>
      </c>
      <c r="C57" s="14" t="s">
        <v>1337</v>
      </c>
      <c r="D57" s="115" t="n">
        <v>13341.15</v>
      </c>
      <c r="E57" s="125" t="n">
        <v>46325</v>
      </c>
      <c r="F57" s="126" t="n">
        <f aca="false">MAX(0,$B$4-E57)</f>
        <v>0</v>
      </c>
      <c r="G57" s="28" t="n">
        <f aca="false">IF(E57&gt;=$B$4,D57,0)</f>
        <v>13341.15</v>
      </c>
      <c r="H57" s="28" t="n">
        <f aca="false">IF(AND(F57&gt;=1,F57&lt;=30),D57,0)</f>
        <v>0</v>
      </c>
      <c r="I57" s="28" t="n">
        <f aca="false">IF(AND(F57&gt;30,F57&lt;=60),D57,0)</f>
        <v>0</v>
      </c>
      <c r="J57" s="28" t="n">
        <f aca="false">IF(AND(F57&gt;60,F57&lt;=90),D57,0)</f>
        <v>0</v>
      </c>
      <c r="K57" s="28" t="n">
        <f aca="false">IF(F57&gt;90,D57,0)</f>
        <v>0</v>
      </c>
      <c r="L57" s="47" t="s">
        <v>1345</v>
      </c>
    </row>
    <row r="58" customFormat="false" ht="32.8" hidden="false" customHeight="false" outlineLevel="0" collapsed="false">
      <c r="A58" s="14" t="s">
        <v>1377</v>
      </c>
      <c r="B58" s="14" t="s">
        <v>1378</v>
      </c>
      <c r="C58" s="14" t="s">
        <v>1379</v>
      </c>
      <c r="D58" s="115" t="n">
        <v>21600</v>
      </c>
      <c r="E58" s="125" t="n">
        <v>46233</v>
      </c>
      <c r="F58" s="126" t="n">
        <f aca="false">MAX(0,$B$4-E58)</f>
        <v>32</v>
      </c>
      <c r="G58" s="28" t="n">
        <f aca="false">IF(E58&gt;=$B$4,D58,0)</f>
        <v>0</v>
      </c>
      <c r="H58" s="28" t="n">
        <f aca="false">IF(AND(F58&gt;=1,F58&lt;=30),D58,0)</f>
        <v>0</v>
      </c>
      <c r="I58" s="28" t="n">
        <f aca="false">IF(AND(F58&gt;30,F58&lt;=60),D58,0)</f>
        <v>21600</v>
      </c>
      <c r="J58" s="28" t="n">
        <f aca="false">IF(AND(F58&gt;60,F58&lt;=90),D58,0)</f>
        <v>0</v>
      </c>
      <c r="K58" s="28" t="n">
        <f aca="false">IF(F58&gt;90,D58,0)</f>
        <v>0</v>
      </c>
      <c r="L58" s="47" t="s">
        <v>1380</v>
      </c>
    </row>
    <row r="59" customFormat="false" ht="15" hidden="false" customHeight="false" outlineLevel="0" collapsed="false">
      <c r="A59" s="14" t="s">
        <v>1381</v>
      </c>
      <c r="B59" s="14" t="s">
        <v>1382</v>
      </c>
      <c r="C59" s="14" t="s">
        <v>1379</v>
      </c>
      <c r="D59" s="115" t="n">
        <v>3903.24</v>
      </c>
      <c r="E59" s="125" t="n">
        <v>46279</v>
      </c>
      <c r="F59" s="126" t="n">
        <f aca="false">MAX(0,$B$4-E59)</f>
        <v>0</v>
      </c>
      <c r="G59" s="28" t="n">
        <f aca="false">IF(E59&gt;=$B$4,D59,0)</f>
        <v>3903.24</v>
      </c>
      <c r="H59" s="28" t="n">
        <f aca="false">IF(AND(F59&gt;=1,F59&lt;=30),D59,0)</f>
        <v>0</v>
      </c>
      <c r="I59" s="28" t="n">
        <f aca="false">IF(AND(F59&gt;30,F59&lt;=60),D59,0)</f>
        <v>0</v>
      </c>
      <c r="J59" s="28" t="n">
        <f aca="false">IF(AND(F59&gt;60,F59&lt;=90),D59,0)</f>
        <v>0</v>
      </c>
      <c r="K59" s="28" t="n">
        <f aca="false">IF(F59&gt;90,D59,0)</f>
        <v>0</v>
      </c>
      <c r="L59" s="47" t="s">
        <v>1383</v>
      </c>
    </row>
    <row r="60" customFormat="false" ht="15" hidden="false" customHeight="false" outlineLevel="0" collapsed="false">
      <c r="A60" s="14" t="s">
        <v>1384</v>
      </c>
      <c r="B60" s="14" t="s">
        <v>1382</v>
      </c>
      <c r="C60" s="14" t="s">
        <v>1379</v>
      </c>
      <c r="D60" s="115" t="n">
        <v>11673.72</v>
      </c>
      <c r="E60" s="125" t="n">
        <v>46294</v>
      </c>
      <c r="F60" s="126" t="n">
        <f aca="false">MAX(0,$B$4-E60)</f>
        <v>0</v>
      </c>
      <c r="G60" s="28" t="n">
        <f aca="false">IF(E60&gt;=$B$4,D60,0)</f>
        <v>11673.72</v>
      </c>
      <c r="H60" s="28" t="n">
        <f aca="false">IF(AND(F60&gt;=1,F60&lt;=30),D60,0)</f>
        <v>0</v>
      </c>
      <c r="I60" s="28" t="n">
        <f aca="false">IF(AND(F60&gt;30,F60&lt;=60),D60,0)</f>
        <v>0</v>
      </c>
      <c r="J60" s="28" t="n">
        <f aca="false">IF(AND(F60&gt;60,F60&lt;=90),D60,0)</f>
        <v>0</v>
      </c>
      <c r="K60" s="28" t="n">
        <f aca="false">IF(F60&gt;90,D60,0)</f>
        <v>0</v>
      </c>
      <c r="L60" s="47" t="s">
        <v>1345</v>
      </c>
    </row>
    <row r="61" customFormat="false" ht="15" hidden="false" customHeight="false" outlineLevel="0" collapsed="false">
      <c r="A61" s="14" t="s">
        <v>1384</v>
      </c>
      <c r="B61" s="14" t="s">
        <v>1385</v>
      </c>
      <c r="C61" s="14" t="s">
        <v>1379</v>
      </c>
      <c r="D61" s="115" t="n">
        <v>10878.21</v>
      </c>
      <c r="E61" s="125" t="n">
        <v>46294</v>
      </c>
      <c r="F61" s="126" t="n">
        <f aca="false">MAX(0,$B$4-E61)</f>
        <v>0</v>
      </c>
      <c r="G61" s="28" t="n">
        <f aca="false">IF(E61&gt;=$B$4,D61,0)</f>
        <v>10878.21</v>
      </c>
      <c r="H61" s="28" t="n">
        <f aca="false">IF(AND(F61&gt;=1,F61&lt;=30),D61,0)</f>
        <v>0</v>
      </c>
      <c r="I61" s="28" t="n">
        <f aca="false">IF(AND(F61&gt;30,F61&lt;=60),D61,0)</f>
        <v>0</v>
      </c>
      <c r="J61" s="28" t="n">
        <f aca="false">IF(AND(F61&gt;60,F61&lt;=90),D61,0)</f>
        <v>0</v>
      </c>
      <c r="K61" s="28" t="n">
        <f aca="false">IF(F61&gt;90,D61,0)</f>
        <v>0</v>
      </c>
      <c r="L61" s="47" t="s">
        <v>1345</v>
      </c>
    </row>
    <row r="62" customFormat="false" ht="15" hidden="false" customHeight="false" outlineLevel="0" collapsed="false">
      <c r="A62" s="14" t="s">
        <v>1384</v>
      </c>
      <c r="B62" s="14" t="s">
        <v>1386</v>
      </c>
      <c r="C62" s="14" t="s">
        <v>1379</v>
      </c>
      <c r="D62" s="115" t="n">
        <v>7072</v>
      </c>
      <c r="E62" s="125" t="n">
        <v>46294</v>
      </c>
      <c r="F62" s="126" t="n">
        <f aca="false">MAX(0,$B$4-E62)</f>
        <v>0</v>
      </c>
      <c r="G62" s="28" t="n">
        <f aca="false">IF(E62&gt;=$B$4,D62,0)</f>
        <v>7072</v>
      </c>
      <c r="H62" s="28" t="n">
        <f aca="false">IF(AND(F62&gt;=1,F62&lt;=30),D62,0)</f>
        <v>0</v>
      </c>
      <c r="I62" s="28" t="n">
        <f aca="false">IF(AND(F62&gt;30,F62&lt;=60),D62,0)</f>
        <v>0</v>
      </c>
      <c r="J62" s="28" t="n">
        <f aca="false">IF(AND(F62&gt;60,F62&lt;=90),D62,0)</f>
        <v>0</v>
      </c>
      <c r="K62" s="28" t="n">
        <f aca="false">IF(F62&gt;90,D62,0)</f>
        <v>0</v>
      </c>
      <c r="L62" s="47" t="s">
        <v>1345</v>
      </c>
    </row>
    <row r="63" customFormat="false" ht="15" hidden="false" customHeight="false" outlineLevel="0" collapsed="false">
      <c r="A63" s="14" t="s">
        <v>1387</v>
      </c>
      <c r="B63" s="14" t="s">
        <v>1385</v>
      </c>
      <c r="C63" s="14" t="s">
        <v>1379</v>
      </c>
      <c r="D63" s="115" t="n">
        <v>12641.79</v>
      </c>
      <c r="E63" s="125" t="n">
        <v>46294</v>
      </c>
      <c r="F63" s="126" t="n">
        <f aca="false">MAX(0,$B$4-E63)</f>
        <v>0</v>
      </c>
      <c r="G63" s="28" t="n">
        <f aca="false">IF(E63&gt;=$B$4,D63,0)</f>
        <v>12641.79</v>
      </c>
      <c r="H63" s="28" t="n">
        <f aca="false">IF(AND(F63&gt;=1,F63&lt;=30),D63,0)</f>
        <v>0</v>
      </c>
      <c r="I63" s="28" t="n">
        <f aca="false">IF(AND(F63&gt;30,F63&lt;=60),D63,0)</f>
        <v>0</v>
      </c>
      <c r="J63" s="28" t="n">
        <f aca="false">IF(AND(F63&gt;60,F63&lt;=90),D63,0)</f>
        <v>0</v>
      </c>
      <c r="K63" s="28" t="n">
        <f aca="false">IF(F63&gt;90,D63,0)</f>
        <v>0</v>
      </c>
      <c r="L63" s="47" t="s">
        <v>1345</v>
      </c>
    </row>
    <row r="64" customFormat="false" ht="15" hidden="false" customHeight="false" outlineLevel="0" collapsed="false">
      <c r="A64" s="14" t="s">
        <v>1387</v>
      </c>
      <c r="B64" s="14" t="s">
        <v>1382</v>
      </c>
      <c r="C64" s="14" t="s">
        <v>1379</v>
      </c>
      <c r="D64" s="115" t="n">
        <v>6418.97</v>
      </c>
      <c r="E64" s="125" t="n">
        <v>46294</v>
      </c>
      <c r="F64" s="126" t="n">
        <f aca="false">MAX(0,$B$4-E64)</f>
        <v>0</v>
      </c>
      <c r="G64" s="28" t="n">
        <f aca="false">IF(E64&gt;=$B$4,D64,0)</f>
        <v>6418.97</v>
      </c>
      <c r="H64" s="28" t="n">
        <f aca="false">IF(AND(F64&gt;=1,F64&lt;=30),D64,0)</f>
        <v>0</v>
      </c>
      <c r="I64" s="28" t="n">
        <f aca="false">IF(AND(F64&gt;30,F64&lt;=60),D64,0)</f>
        <v>0</v>
      </c>
      <c r="J64" s="28" t="n">
        <f aca="false">IF(AND(F64&gt;60,F64&lt;=90),D64,0)</f>
        <v>0</v>
      </c>
      <c r="K64" s="28" t="n">
        <f aca="false">IF(F64&gt;90,D64,0)</f>
        <v>0</v>
      </c>
      <c r="L64" s="47" t="s">
        <v>1345</v>
      </c>
    </row>
    <row r="65" customFormat="false" ht="15" hidden="false" customHeight="false" outlineLevel="0" collapsed="false">
      <c r="A65" s="14" t="s">
        <v>1388</v>
      </c>
      <c r="B65" s="14" t="s">
        <v>1382</v>
      </c>
      <c r="C65" s="14" t="s">
        <v>1379</v>
      </c>
      <c r="D65" s="115" t="n">
        <v>7645.06</v>
      </c>
      <c r="E65" s="125" t="n">
        <v>46294</v>
      </c>
      <c r="F65" s="126" t="n">
        <f aca="false">MAX(0,$B$4-E65)</f>
        <v>0</v>
      </c>
      <c r="G65" s="28" t="n">
        <f aca="false">IF(E65&gt;=$B$4,D65,0)</f>
        <v>7645.06</v>
      </c>
      <c r="H65" s="28" t="n">
        <f aca="false">IF(AND(F65&gt;=1,F65&lt;=30),D65,0)</f>
        <v>0</v>
      </c>
      <c r="I65" s="28" t="n">
        <f aca="false">IF(AND(F65&gt;30,F65&lt;=60),D65,0)</f>
        <v>0</v>
      </c>
      <c r="J65" s="28" t="n">
        <f aca="false">IF(AND(F65&gt;60,F65&lt;=90),D65,0)</f>
        <v>0</v>
      </c>
      <c r="K65" s="28" t="n">
        <f aca="false">IF(F65&gt;90,D65,0)</f>
        <v>0</v>
      </c>
      <c r="L65" s="47" t="s">
        <v>1345</v>
      </c>
    </row>
    <row r="66" customFormat="false" ht="15" hidden="false" customHeight="false" outlineLevel="0" collapsed="false">
      <c r="A66" s="14" t="s">
        <v>1377</v>
      </c>
      <c r="B66" s="14" t="s">
        <v>1382</v>
      </c>
      <c r="C66" s="14" t="s">
        <v>1379</v>
      </c>
      <c r="D66" s="115" t="n">
        <v>7731.08</v>
      </c>
      <c r="E66" s="125" t="n">
        <v>46294</v>
      </c>
      <c r="F66" s="126" t="n">
        <f aca="false">MAX(0,$B$4-E66)</f>
        <v>0</v>
      </c>
      <c r="G66" s="28" t="n">
        <f aca="false">IF(E66&gt;=$B$4,D66,0)</f>
        <v>7731.08</v>
      </c>
      <c r="H66" s="28" t="n">
        <f aca="false">IF(AND(F66&gt;=1,F66&lt;=30),D66,0)</f>
        <v>0</v>
      </c>
      <c r="I66" s="28" t="n">
        <f aca="false">IF(AND(F66&gt;30,F66&lt;=60),D66,0)</f>
        <v>0</v>
      </c>
      <c r="J66" s="28" t="n">
        <f aca="false">IF(AND(F66&gt;60,F66&lt;=90),D66,0)</f>
        <v>0</v>
      </c>
      <c r="K66" s="28" t="n">
        <f aca="false">IF(F66&gt;90,D66,0)</f>
        <v>0</v>
      </c>
      <c r="L66" s="47" t="s">
        <v>1345</v>
      </c>
    </row>
    <row r="67" customFormat="false" ht="15" hidden="false" customHeight="false" outlineLevel="0" collapsed="false">
      <c r="A67" s="14" t="s">
        <v>1389</v>
      </c>
      <c r="B67" s="14" t="s">
        <v>1390</v>
      </c>
      <c r="C67" s="14" t="s">
        <v>1379</v>
      </c>
      <c r="D67" s="115" t="n">
        <v>4647.03</v>
      </c>
      <c r="E67" s="125" t="n">
        <v>46310</v>
      </c>
      <c r="F67" s="126" t="n">
        <f aca="false">MAX(0,$B$4-E67)</f>
        <v>0</v>
      </c>
      <c r="G67" s="28" t="n">
        <f aca="false">IF(E67&gt;=$B$4,D67,0)</f>
        <v>4647.03</v>
      </c>
      <c r="H67" s="28" t="n">
        <f aca="false">IF(AND(F67&gt;=1,F67&lt;=30),D67,0)</f>
        <v>0</v>
      </c>
      <c r="I67" s="28" t="n">
        <f aca="false">IF(AND(F67&gt;30,F67&lt;=60),D67,0)</f>
        <v>0</v>
      </c>
      <c r="J67" s="28" t="n">
        <f aca="false">IF(AND(F67&gt;60,F67&lt;=90),D67,0)</f>
        <v>0</v>
      </c>
      <c r="K67" s="28" t="n">
        <f aca="false">IF(F67&gt;90,D67,0)</f>
        <v>0</v>
      </c>
      <c r="L67" s="47" t="s">
        <v>1338</v>
      </c>
    </row>
    <row r="68" customFormat="false" ht="15" hidden="false" customHeight="false" outlineLevel="0" collapsed="false">
      <c r="A68" s="14" t="s">
        <v>1389</v>
      </c>
      <c r="B68" s="14" t="s">
        <v>1391</v>
      </c>
      <c r="C68" s="14" t="s">
        <v>1379</v>
      </c>
      <c r="D68" s="115" t="n">
        <v>768</v>
      </c>
      <c r="E68" s="125" t="n">
        <v>46310</v>
      </c>
      <c r="F68" s="126" t="n">
        <f aca="false">MAX(0,$B$4-E68)</f>
        <v>0</v>
      </c>
      <c r="G68" s="28" t="n">
        <f aca="false">IF(E68&gt;=$B$4,D68,0)</f>
        <v>768</v>
      </c>
      <c r="H68" s="28" t="n">
        <f aca="false">IF(AND(F68&gt;=1,F68&lt;=30),D68,0)</f>
        <v>0</v>
      </c>
      <c r="I68" s="28" t="n">
        <f aca="false">IF(AND(F68&gt;30,F68&lt;=60),D68,0)</f>
        <v>0</v>
      </c>
      <c r="J68" s="28" t="n">
        <f aca="false">IF(AND(F68&gt;60,F68&lt;=90),D68,0)</f>
        <v>0</v>
      </c>
      <c r="K68" s="28" t="n">
        <f aca="false">IF(F68&gt;90,D68,0)</f>
        <v>0</v>
      </c>
      <c r="L68" s="47" t="s">
        <v>1338</v>
      </c>
    </row>
    <row r="69" customFormat="false" ht="15" hidden="false" customHeight="false" outlineLevel="0" collapsed="false">
      <c r="A69" s="14" t="s">
        <v>1381</v>
      </c>
      <c r="B69" s="14" t="s">
        <v>1390</v>
      </c>
      <c r="C69" s="14" t="s">
        <v>1379</v>
      </c>
      <c r="D69" s="115" t="n">
        <v>5749.05</v>
      </c>
      <c r="E69" s="125" t="n">
        <v>46310</v>
      </c>
      <c r="F69" s="126" t="n">
        <f aca="false">MAX(0,$B$4-E69)</f>
        <v>0</v>
      </c>
      <c r="G69" s="28" t="n">
        <f aca="false">IF(E69&gt;=$B$4,D69,0)</f>
        <v>5749.05</v>
      </c>
      <c r="H69" s="28" t="n">
        <f aca="false">IF(AND(F69&gt;=1,F69&lt;=30),D69,0)</f>
        <v>0</v>
      </c>
      <c r="I69" s="28" t="n">
        <f aca="false">IF(AND(F69&gt;30,F69&lt;=60),D69,0)</f>
        <v>0</v>
      </c>
      <c r="J69" s="28" t="n">
        <f aca="false">IF(AND(F69&gt;60,F69&lt;=90),D69,0)</f>
        <v>0</v>
      </c>
      <c r="K69" s="28" t="n">
        <f aca="false">IF(F69&gt;90,D69,0)</f>
        <v>0</v>
      </c>
      <c r="L69" s="47" t="s">
        <v>1338</v>
      </c>
    </row>
    <row r="70" customFormat="false" ht="15" hidden="false" customHeight="false" outlineLevel="0" collapsed="false">
      <c r="A70" s="14" t="s">
        <v>1381</v>
      </c>
      <c r="B70" s="14" t="s">
        <v>1392</v>
      </c>
      <c r="C70" s="14" t="s">
        <v>1379</v>
      </c>
      <c r="D70" s="115" t="n">
        <v>3800</v>
      </c>
      <c r="E70" s="125" t="n">
        <v>46310</v>
      </c>
      <c r="F70" s="126" t="n">
        <f aca="false">MAX(0,$B$4-E70)</f>
        <v>0</v>
      </c>
      <c r="G70" s="28" t="n">
        <f aca="false">IF(E70&gt;=$B$4,D70,0)</f>
        <v>3800</v>
      </c>
      <c r="H70" s="28" t="n">
        <f aca="false">IF(AND(F70&gt;=1,F70&lt;=30),D70,0)</f>
        <v>0</v>
      </c>
      <c r="I70" s="28" t="n">
        <f aca="false">IF(AND(F70&gt;30,F70&lt;=60),D70,0)</f>
        <v>0</v>
      </c>
      <c r="J70" s="28" t="n">
        <f aca="false">IF(AND(F70&gt;60,F70&lt;=90),D70,0)</f>
        <v>0</v>
      </c>
      <c r="K70" s="28" t="n">
        <f aca="false">IF(F70&gt;90,D70,0)</f>
        <v>0</v>
      </c>
      <c r="L70" s="47" t="s">
        <v>1338</v>
      </c>
    </row>
    <row r="71" customFormat="false" ht="15" hidden="false" customHeight="false" outlineLevel="0" collapsed="false">
      <c r="A71" s="14" t="s">
        <v>1384</v>
      </c>
      <c r="B71" s="14" t="s">
        <v>1390</v>
      </c>
      <c r="C71" s="14" t="s">
        <v>1379</v>
      </c>
      <c r="D71" s="115" t="n">
        <v>11434.57</v>
      </c>
      <c r="E71" s="125" t="n">
        <v>46325</v>
      </c>
      <c r="F71" s="126" t="n">
        <f aca="false">MAX(0,$B$4-E71)</f>
        <v>0</v>
      </c>
      <c r="G71" s="28" t="n">
        <f aca="false">IF(E71&gt;=$B$4,D71,0)</f>
        <v>11434.57</v>
      </c>
      <c r="H71" s="28" t="n">
        <f aca="false">IF(AND(F71&gt;=1,F71&lt;=30),D71,0)</f>
        <v>0</v>
      </c>
      <c r="I71" s="28" t="n">
        <f aca="false">IF(AND(F71&gt;30,F71&lt;=60),D71,0)</f>
        <v>0</v>
      </c>
      <c r="J71" s="28" t="n">
        <f aca="false">IF(AND(F71&gt;60,F71&lt;=90),D71,0)</f>
        <v>0</v>
      </c>
      <c r="K71" s="28" t="n">
        <f aca="false">IF(F71&gt;90,D71,0)</f>
        <v>0</v>
      </c>
      <c r="L71" s="47" t="s">
        <v>1345</v>
      </c>
    </row>
    <row r="72" customFormat="false" ht="15" hidden="false" customHeight="false" outlineLevel="0" collapsed="false">
      <c r="A72" s="14" t="s">
        <v>1384</v>
      </c>
      <c r="B72" s="14" t="s">
        <v>1393</v>
      </c>
      <c r="C72" s="14" t="s">
        <v>1379</v>
      </c>
      <c r="D72" s="115" t="n">
        <v>5492.21</v>
      </c>
      <c r="E72" s="125" t="n">
        <v>46325</v>
      </c>
      <c r="F72" s="126" t="n">
        <f aca="false">MAX(0,$B$4-E72)</f>
        <v>0</v>
      </c>
      <c r="G72" s="28" t="n">
        <f aca="false">IF(E72&gt;=$B$4,D72,0)</f>
        <v>5492.21</v>
      </c>
      <c r="H72" s="28" t="n">
        <f aca="false">IF(AND(F72&gt;=1,F72&lt;=30),D72,0)</f>
        <v>0</v>
      </c>
      <c r="I72" s="28" t="n">
        <f aca="false">IF(AND(F72&gt;30,F72&lt;=60),D72,0)</f>
        <v>0</v>
      </c>
      <c r="J72" s="28" t="n">
        <f aca="false">IF(AND(F72&gt;60,F72&lt;=90),D72,0)</f>
        <v>0</v>
      </c>
      <c r="K72" s="28" t="n">
        <f aca="false">IF(F72&gt;90,D72,0)</f>
        <v>0</v>
      </c>
      <c r="L72" s="47" t="s">
        <v>1345</v>
      </c>
    </row>
    <row r="73" customFormat="false" ht="15" hidden="false" customHeight="false" outlineLevel="0" collapsed="false">
      <c r="A73" s="14" t="s">
        <v>1384</v>
      </c>
      <c r="B73" s="14" t="s">
        <v>1394</v>
      </c>
      <c r="C73" s="14" t="s">
        <v>1379</v>
      </c>
      <c r="D73" s="115" t="n">
        <v>4896</v>
      </c>
      <c r="E73" s="125" t="n">
        <v>46325</v>
      </c>
      <c r="F73" s="126" t="n">
        <f aca="false">MAX(0,$B$4-E73)</f>
        <v>0</v>
      </c>
      <c r="G73" s="28" t="n">
        <f aca="false">IF(E73&gt;=$B$4,D73,0)</f>
        <v>4896</v>
      </c>
      <c r="H73" s="28" t="n">
        <f aca="false">IF(AND(F73&gt;=1,F73&lt;=30),D73,0)</f>
        <v>0</v>
      </c>
      <c r="I73" s="28" t="n">
        <f aca="false">IF(AND(F73&gt;30,F73&lt;=60),D73,0)</f>
        <v>0</v>
      </c>
      <c r="J73" s="28" t="n">
        <f aca="false">IF(AND(F73&gt;60,F73&lt;=90),D73,0)</f>
        <v>0</v>
      </c>
      <c r="K73" s="28" t="n">
        <f aca="false">IF(F73&gt;90,D73,0)</f>
        <v>0</v>
      </c>
      <c r="L73" s="47" t="s">
        <v>1345</v>
      </c>
    </row>
    <row r="74" customFormat="false" ht="15" hidden="false" customHeight="false" outlineLevel="0" collapsed="false">
      <c r="A74" s="14" t="s">
        <v>1387</v>
      </c>
      <c r="B74" s="14" t="s">
        <v>1390</v>
      </c>
      <c r="C74" s="14" t="s">
        <v>1379</v>
      </c>
      <c r="D74" s="115" t="n">
        <v>6197.72</v>
      </c>
      <c r="E74" s="125" t="n">
        <v>46325</v>
      </c>
      <c r="F74" s="126" t="n">
        <f aca="false">MAX(0,$B$4-E74)</f>
        <v>0</v>
      </c>
      <c r="G74" s="28" t="n">
        <f aca="false">IF(E74&gt;=$B$4,D74,0)</f>
        <v>6197.72</v>
      </c>
      <c r="H74" s="28" t="n">
        <f aca="false">IF(AND(F74&gt;=1,F74&lt;=30),D74,0)</f>
        <v>0</v>
      </c>
      <c r="I74" s="28" t="n">
        <f aca="false">IF(AND(F74&gt;30,F74&lt;=60),D74,0)</f>
        <v>0</v>
      </c>
      <c r="J74" s="28" t="n">
        <f aca="false">IF(AND(F74&gt;60,F74&lt;=90),D74,0)</f>
        <v>0</v>
      </c>
      <c r="K74" s="28" t="n">
        <f aca="false">IF(F74&gt;90,D74,0)</f>
        <v>0</v>
      </c>
      <c r="L74" s="47" t="s">
        <v>1345</v>
      </c>
    </row>
    <row r="75" customFormat="false" ht="15" hidden="false" customHeight="false" outlineLevel="0" collapsed="false">
      <c r="A75" s="14" t="s">
        <v>1387</v>
      </c>
      <c r="B75" s="14" t="s">
        <v>1393</v>
      </c>
      <c r="C75" s="14" t="s">
        <v>1379</v>
      </c>
      <c r="D75" s="115" t="n">
        <v>9027.79</v>
      </c>
      <c r="E75" s="125" t="n">
        <v>46325</v>
      </c>
      <c r="F75" s="126" t="n">
        <f aca="false">MAX(0,$B$4-E75)</f>
        <v>0</v>
      </c>
      <c r="G75" s="28" t="n">
        <f aca="false">IF(E75&gt;=$B$4,D75,0)</f>
        <v>9027.79</v>
      </c>
      <c r="H75" s="28" t="n">
        <f aca="false">IF(AND(F75&gt;=1,F75&lt;=30),D75,0)</f>
        <v>0</v>
      </c>
      <c r="I75" s="28" t="n">
        <f aca="false">IF(AND(F75&gt;30,F75&lt;=60),D75,0)</f>
        <v>0</v>
      </c>
      <c r="J75" s="28" t="n">
        <f aca="false">IF(AND(F75&gt;60,F75&lt;=90),D75,0)</f>
        <v>0</v>
      </c>
      <c r="K75" s="28" t="n">
        <f aca="false">IF(F75&gt;90,D75,0)</f>
        <v>0</v>
      </c>
      <c r="L75" s="47" t="s">
        <v>1345</v>
      </c>
    </row>
    <row r="76" customFormat="false" ht="15" hidden="false" customHeight="false" outlineLevel="0" collapsed="false">
      <c r="A76" s="14" t="s">
        <v>1388</v>
      </c>
      <c r="B76" s="14" t="s">
        <v>1390</v>
      </c>
      <c r="C76" s="14" t="s">
        <v>1379</v>
      </c>
      <c r="D76" s="115" t="n">
        <v>7509.92</v>
      </c>
      <c r="E76" s="125" t="n">
        <v>46325</v>
      </c>
      <c r="F76" s="126" t="n">
        <f aca="false">MAX(0,$B$4-E76)</f>
        <v>0</v>
      </c>
      <c r="G76" s="28" t="n">
        <f aca="false">IF(E76&gt;=$B$4,D76,0)</f>
        <v>7509.92</v>
      </c>
      <c r="H76" s="28" t="n">
        <f aca="false">IF(AND(F76&gt;=1,F76&lt;=30),D76,0)</f>
        <v>0</v>
      </c>
      <c r="I76" s="28" t="n">
        <f aca="false">IF(AND(F76&gt;30,F76&lt;=60),D76,0)</f>
        <v>0</v>
      </c>
      <c r="J76" s="28" t="n">
        <f aca="false">IF(AND(F76&gt;60,F76&lt;=90),D76,0)</f>
        <v>0</v>
      </c>
      <c r="K76" s="28" t="n">
        <f aca="false">IF(F76&gt;90,D76,0)</f>
        <v>0</v>
      </c>
      <c r="L76" s="47" t="s">
        <v>1345</v>
      </c>
    </row>
    <row r="77" customFormat="false" ht="15" hidden="false" customHeight="false" outlineLevel="0" collapsed="false">
      <c r="A77" s="14" t="s">
        <v>1377</v>
      </c>
      <c r="B77" s="14" t="s">
        <v>1390</v>
      </c>
      <c r="C77" s="14" t="s">
        <v>1379</v>
      </c>
      <c r="D77" s="115" t="n">
        <v>7756.56</v>
      </c>
      <c r="E77" s="125" t="n">
        <v>46325</v>
      </c>
      <c r="F77" s="126" t="n">
        <f aca="false">MAX(0,$B$4-E77)</f>
        <v>0</v>
      </c>
      <c r="G77" s="28" t="n">
        <f aca="false">IF(E77&gt;=$B$4,D77,0)</f>
        <v>7756.56</v>
      </c>
      <c r="H77" s="28" t="n">
        <f aca="false">IF(AND(F77&gt;=1,F77&lt;=30),D77,0)</f>
        <v>0</v>
      </c>
      <c r="I77" s="28" t="n">
        <f aca="false">IF(AND(F77&gt;30,F77&lt;=60),D77,0)</f>
        <v>0</v>
      </c>
      <c r="J77" s="28" t="n">
        <f aca="false">IF(AND(F77&gt;60,F77&lt;=90),D77,0)</f>
        <v>0</v>
      </c>
      <c r="K77" s="28" t="n">
        <f aca="false">IF(F77&gt;90,D77,0)</f>
        <v>0</v>
      </c>
      <c r="L77" s="47" t="s">
        <v>1345</v>
      </c>
    </row>
    <row r="78" customFormat="false" ht="15" hidden="false" customHeight="false" outlineLevel="0" collapsed="false">
      <c r="A78" s="87" t="s">
        <v>1395</v>
      </c>
      <c r="D78" s="88" t="n">
        <f aca="false">SUM(D7:D77)</f>
        <v>870948.14</v>
      </c>
      <c r="G78" s="88" t="n">
        <f aca="false">SUM(G7:G77)</f>
        <v>849348.14</v>
      </c>
      <c r="H78" s="88" t="n">
        <f aca="false">SUM(H7:H77)</f>
        <v>0</v>
      </c>
      <c r="I78" s="88" t="n">
        <f aca="false">SUM(I7:I77)</f>
        <v>21600</v>
      </c>
      <c r="J78" s="88" t="n">
        <f aca="false">SUM(J7:J77)</f>
        <v>0</v>
      </c>
      <c r="K78" s="88" t="n">
        <f aca="false">SUM(K7:K77)</f>
        <v>0</v>
      </c>
    </row>
    <row r="79" customFormat="false" ht="15" hidden="false" customHeight="false" outlineLevel="0" collapsed="false">
      <c r="A79" s="13" t="s">
        <v>1396</v>
      </c>
      <c r="G79" s="127" t="n">
        <f aca="false">IF($D$78=0,0,G78/$D$78)</f>
        <v>0.975199441840475</v>
      </c>
      <c r="H79" s="127" t="n">
        <f aca="false">IF($D$78=0,0,H78/$D$78)</f>
        <v>0</v>
      </c>
      <c r="I79" s="127" t="n">
        <f aca="false">IF($D$78=0,0,I78/$D$78)</f>
        <v>0.0248005581595249</v>
      </c>
      <c r="J79" s="127" t="n">
        <f aca="false">IF($D$78=0,0,J78/$D$78)</f>
        <v>0</v>
      </c>
      <c r="K79" s="127" t="n">
        <f aca="false">IF($D$78=0,0,K78/$D$78)</f>
        <v>0</v>
      </c>
    </row>
    <row r="81" customFormat="false" ht="15" hidden="false" customHeight="false" outlineLevel="0" collapsed="false">
      <c r="A81" s="5" t="s">
        <v>1397</v>
      </c>
      <c r="D81" s="28" t="n">
        <f aca="false">SUMIFS(D7:D77,C7:C77,"Portugal")</f>
        <v>714105.22</v>
      </c>
      <c r="E81" s="128" t="s">
        <v>1398</v>
      </c>
      <c r="F81" s="67" t="n">
        <f aca="false">INDEX(Receivables!$E$34:$AB$34,Assumptions!$C$10)</f>
        <v>714105.221664989</v>
      </c>
      <c r="G81" s="128" t="s">
        <v>1399</v>
      </c>
      <c r="H81" s="35" t="n">
        <f aca="false">ROUND(D81-F81,0)</f>
        <v>-0</v>
      </c>
    </row>
    <row r="82" customFormat="false" ht="15" hidden="false" customHeight="false" outlineLevel="0" collapsed="false">
      <c r="A82" s="5" t="s">
        <v>1400</v>
      </c>
      <c r="D82" s="28" t="n">
        <f aca="false">SUMIFS(D7:D77,C7:C77,"Spain")</f>
        <v>156842.92</v>
      </c>
      <c r="E82" s="128" t="s">
        <v>1398</v>
      </c>
      <c r="F82" s="67" t="n">
        <f aca="false">INDEX(Receivables!$E$42:$AB$42,Assumptions!$C$10)</f>
        <v>156842.920272367</v>
      </c>
      <c r="G82" s="128" t="s">
        <v>1399</v>
      </c>
      <c r="H82" s="35" t="n">
        <f aca="false">ROUND(D82-F82,0)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50"/>
    <col collapsed="false" customWidth="true" hidden="false" outlineLevel="0" max="3" min="3" style="0" width="15"/>
    <col collapsed="false" customWidth="true" hidden="false" outlineLevel="0" max="4" min="4" style="0" width="13"/>
    <col collapsed="false" customWidth="true" hidden="false" outlineLevel="0" max="5" min="5" style="0" width="11"/>
    <col collapsed="false" customWidth="true" hidden="false" outlineLevel="0" max="6" min="6" style="0" width="9"/>
    <col collapsed="false" customWidth="true" hidden="false" outlineLevel="0" max="11" min="7" style="0" width="12"/>
    <col collapsed="false" customWidth="true" hidden="false" outlineLevel="0" max="12" min="12" style="0" width="56"/>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1401</v>
      </c>
    </row>
    <row r="3" customFormat="false" ht="15" hidden="false" customHeight="false" outlineLevel="0" collapsed="false">
      <c r="A3" s="24" t="s">
        <v>1402</v>
      </c>
    </row>
    <row r="4" customFormat="false" ht="15" hidden="false" customHeight="false" outlineLevel="0" collapsed="false">
      <c r="A4" s="0" t="s">
        <v>1322</v>
      </c>
      <c r="B4" s="124" t="n">
        <f aca="false">Assumptions!$C$15</f>
        <v>46265</v>
      </c>
    </row>
    <row r="6" customFormat="false" ht="30" hidden="false" customHeight="true" outlineLevel="0" collapsed="false">
      <c r="A6" s="25" t="s">
        <v>1323</v>
      </c>
      <c r="B6" s="26" t="s">
        <v>1324</v>
      </c>
      <c r="C6" s="26" t="s">
        <v>1325</v>
      </c>
      <c r="D6" s="26" t="s">
        <v>1326</v>
      </c>
      <c r="E6" s="26" t="s">
        <v>1327</v>
      </c>
      <c r="F6" s="26" t="s">
        <v>1328</v>
      </c>
      <c r="G6" s="26" t="s">
        <v>1329</v>
      </c>
      <c r="H6" s="26" t="s">
        <v>1330</v>
      </c>
      <c r="I6" s="26" t="s">
        <v>1331</v>
      </c>
      <c r="J6" s="26" t="s">
        <v>1332</v>
      </c>
      <c r="K6" s="26" t="s">
        <v>1333</v>
      </c>
      <c r="L6" s="26" t="s">
        <v>1334</v>
      </c>
    </row>
    <row r="7" customFormat="false" ht="15" hidden="false" customHeight="false" outlineLevel="0" collapsed="false">
      <c r="A7" s="14" t="s">
        <v>1403</v>
      </c>
      <c r="B7" s="14" t="s">
        <v>1404</v>
      </c>
      <c r="C7" s="14" t="s">
        <v>547</v>
      </c>
      <c r="D7" s="115" t="n">
        <v>61729.02</v>
      </c>
      <c r="E7" s="125" t="n">
        <v>46295</v>
      </c>
      <c r="F7" s="126" t="n">
        <f aca="false">MAX(0,$B$4-E7)</f>
        <v>0</v>
      </c>
      <c r="G7" s="28" t="n">
        <f aca="false">IF(E7&gt;=$B$4,D7,0)</f>
        <v>61729.02</v>
      </c>
      <c r="H7" s="28" t="n">
        <f aca="false">IF(AND(F7&gt;=1,F7&lt;=30),D7,0)</f>
        <v>0</v>
      </c>
      <c r="I7" s="28" t="n">
        <f aca="false">IF(AND(F7&gt;30,F7&lt;=60),D7,0)</f>
        <v>0</v>
      </c>
      <c r="J7" s="28" t="n">
        <f aca="false">IF(AND(F7&gt;60,F7&lt;=90),D7,0)</f>
        <v>0</v>
      </c>
      <c r="K7" s="28" t="n">
        <f aca="false">IF(F7&gt;90,D7,0)</f>
        <v>0</v>
      </c>
      <c r="L7" s="47" t="s">
        <v>1405</v>
      </c>
    </row>
    <row r="8" customFormat="false" ht="15" hidden="false" customHeight="false" outlineLevel="0" collapsed="false">
      <c r="A8" s="14" t="s">
        <v>1406</v>
      </c>
      <c r="B8" s="14" t="s">
        <v>1404</v>
      </c>
      <c r="C8" s="14" t="s">
        <v>547</v>
      </c>
      <c r="D8" s="115" t="n">
        <v>37833.92</v>
      </c>
      <c r="E8" s="125" t="n">
        <v>46295</v>
      </c>
      <c r="F8" s="126" t="n">
        <f aca="false">MAX(0,$B$4-E8)</f>
        <v>0</v>
      </c>
      <c r="G8" s="28" t="n">
        <f aca="false">IF(E8&gt;=$B$4,D8,0)</f>
        <v>37833.92</v>
      </c>
      <c r="H8" s="28" t="n">
        <f aca="false">IF(AND(F8&gt;=1,F8&lt;=30),D8,0)</f>
        <v>0</v>
      </c>
      <c r="I8" s="28" t="n">
        <f aca="false">IF(AND(F8&gt;30,F8&lt;=60),D8,0)</f>
        <v>0</v>
      </c>
      <c r="J8" s="28" t="n">
        <f aca="false">IF(AND(F8&gt;60,F8&lt;=90),D8,0)</f>
        <v>0</v>
      </c>
      <c r="K8" s="28" t="n">
        <f aca="false">IF(F8&gt;90,D8,0)</f>
        <v>0</v>
      </c>
      <c r="L8" s="47" t="s">
        <v>1405</v>
      </c>
    </row>
    <row r="9" customFormat="false" ht="15" hidden="false" customHeight="false" outlineLevel="0" collapsed="false">
      <c r="A9" s="14" t="s">
        <v>548</v>
      </c>
      <c r="B9" s="14" t="s">
        <v>1407</v>
      </c>
      <c r="C9" s="14" t="s">
        <v>548</v>
      </c>
      <c r="D9" s="115" t="n">
        <v>118786.57</v>
      </c>
      <c r="E9" s="125" t="n">
        <v>46295</v>
      </c>
      <c r="F9" s="126" t="n">
        <f aca="false">MAX(0,$B$4-E9)</f>
        <v>0</v>
      </c>
      <c r="G9" s="28" t="n">
        <f aca="false">IF(E9&gt;=$B$4,D9,0)</f>
        <v>118786.57</v>
      </c>
      <c r="H9" s="28" t="n">
        <f aca="false">IF(AND(F9&gt;=1,F9&lt;=30),D9,0)</f>
        <v>0</v>
      </c>
      <c r="I9" s="28" t="n">
        <f aca="false">IF(AND(F9&gt;30,F9&lt;=60),D9,0)</f>
        <v>0</v>
      </c>
      <c r="J9" s="28" t="n">
        <f aca="false">IF(AND(F9&gt;60,F9&lt;=90),D9,0)</f>
        <v>0</v>
      </c>
      <c r="K9" s="28" t="n">
        <f aca="false">IF(F9&gt;90,D9,0)</f>
        <v>0</v>
      </c>
      <c r="L9" s="47" t="s">
        <v>1405</v>
      </c>
    </row>
    <row r="10" customFormat="false" ht="15" hidden="false" customHeight="false" outlineLevel="0" collapsed="false">
      <c r="A10" s="14" t="s">
        <v>1408</v>
      </c>
      <c r="B10" s="14" t="s">
        <v>1409</v>
      </c>
      <c r="C10" s="14" t="s">
        <v>1410</v>
      </c>
      <c r="D10" s="115" t="n">
        <v>20113.03</v>
      </c>
      <c r="E10" s="125" t="n">
        <v>46280</v>
      </c>
      <c r="F10" s="126" t="n">
        <f aca="false">MAX(0,$B$4-E10)</f>
        <v>0</v>
      </c>
      <c r="G10" s="28" t="n">
        <f aca="false">IF(E10&gt;=$B$4,D10,0)</f>
        <v>20113.03</v>
      </c>
      <c r="H10" s="28" t="n">
        <f aca="false">IF(AND(F10&gt;=1,F10&lt;=30),D10,0)</f>
        <v>0</v>
      </c>
      <c r="I10" s="28" t="n">
        <f aca="false">IF(AND(F10&gt;30,F10&lt;=60),D10,0)</f>
        <v>0</v>
      </c>
      <c r="J10" s="28" t="n">
        <f aca="false">IF(AND(F10&gt;60,F10&lt;=90),D10,0)</f>
        <v>0</v>
      </c>
      <c r="K10" s="28" t="n">
        <f aca="false">IF(F10&gt;90,D10,0)</f>
        <v>0</v>
      </c>
      <c r="L10" s="47" t="s">
        <v>1411</v>
      </c>
    </row>
    <row r="11" customFormat="false" ht="15" hidden="false" customHeight="false" outlineLevel="0" collapsed="false">
      <c r="A11" s="14" t="s">
        <v>1412</v>
      </c>
      <c r="B11" s="14" t="s">
        <v>1413</v>
      </c>
      <c r="C11" s="14" t="s">
        <v>1414</v>
      </c>
      <c r="D11" s="115" t="n">
        <v>10950.08</v>
      </c>
      <c r="E11" s="125" t="n">
        <v>46295</v>
      </c>
      <c r="F11" s="126" t="n">
        <f aca="false">MAX(0,$B$4-E11)</f>
        <v>0</v>
      </c>
      <c r="G11" s="28" t="n">
        <f aca="false">IF(E11&gt;=$B$4,D11,0)</f>
        <v>10950.08</v>
      </c>
      <c r="H11" s="28" t="n">
        <f aca="false">IF(AND(F11&gt;=1,F11&lt;=30),D11,0)</f>
        <v>0</v>
      </c>
      <c r="I11" s="28" t="n">
        <f aca="false">IF(AND(F11&gt;30,F11&lt;=60),D11,0)</f>
        <v>0</v>
      </c>
      <c r="J11" s="28" t="n">
        <f aca="false">IF(AND(F11&gt;60,F11&lt;=90),D11,0)</f>
        <v>0</v>
      </c>
      <c r="K11" s="28" t="n">
        <f aca="false">IF(F11&gt;90,D11,0)</f>
        <v>0</v>
      </c>
      <c r="L11" s="47" t="s">
        <v>1350</v>
      </c>
    </row>
    <row r="12" customFormat="false" ht="15" hidden="false" customHeight="false" outlineLevel="0" collapsed="false">
      <c r="A12" s="14" t="s">
        <v>1415</v>
      </c>
      <c r="B12" s="14" t="s">
        <v>1416</v>
      </c>
      <c r="C12" s="14" t="s">
        <v>1414</v>
      </c>
      <c r="D12" s="115" t="n">
        <v>12103.2</v>
      </c>
      <c r="E12" s="125" t="n">
        <v>46295</v>
      </c>
      <c r="F12" s="126" t="n">
        <f aca="false">MAX(0,$B$4-E12)</f>
        <v>0</v>
      </c>
      <c r="G12" s="28" t="n">
        <f aca="false">IF(E12&gt;=$B$4,D12,0)</f>
        <v>12103.2</v>
      </c>
      <c r="H12" s="28" t="n">
        <f aca="false">IF(AND(F12&gt;=1,F12&lt;=30),D12,0)</f>
        <v>0</v>
      </c>
      <c r="I12" s="28" t="n">
        <f aca="false">IF(AND(F12&gt;30,F12&lt;=60),D12,0)</f>
        <v>0</v>
      </c>
      <c r="J12" s="28" t="n">
        <f aca="false">IF(AND(F12&gt;60,F12&lt;=90),D12,0)</f>
        <v>0</v>
      </c>
      <c r="K12" s="28" t="n">
        <f aca="false">IF(F12&gt;90,D12,0)</f>
        <v>0</v>
      </c>
      <c r="L12" s="47" t="s">
        <v>1350</v>
      </c>
    </row>
    <row r="13" customFormat="false" ht="15" hidden="false" customHeight="false" outlineLevel="0" collapsed="false">
      <c r="A13" s="14" t="s">
        <v>1417</v>
      </c>
      <c r="B13" s="14" t="s">
        <v>1418</v>
      </c>
      <c r="C13" s="14" t="s">
        <v>1414</v>
      </c>
      <c r="D13" s="115" t="n">
        <v>1845</v>
      </c>
      <c r="E13" s="125" t="n">
        <v>46295</v>
      </c>
      <c r="F13" s="126" t="n">
        <f aca="false">MAX(0,$B$4-E13)</f>
        <v>0</v>
      </c>
      <c r="G13" s="28" t="n">
        <f aca="false">IF(E13&gt;=$B$4,D13,0)</f>
        <v>1845</v>
      </c>
      <c r="H13" s="28" t="n">
        <f aca="false">IF(AND(F13&gt;=1,F13&lt;=30),D13,0)</f>
        <v>0</v>
      </c>
      <c r="I13" s="28" t="n">
        <f aca="false">IF(AND(F13&gt;30,F13&lt;=60),D13,0)</f>
        <v>0</v>
      </c>
      <c r="J13" s="28" t="n">
        <f aca="false">IF(AND(F13&gt;60,F13&lt;=90),D13,0)</f>
        <v>0</v>
      </c>
      <c r="K13" s="28" t="n">
        <f aca="false">IF(F13&gt;90,D13,0)</f>
        <v>0</v>
      </c>
      <c r="L13" s="47" t="s">
        <v>1350</v>
      </c>
    </row>
    <row r="14" customFormat="false" ht="15" hidden="false" customHeight="false" outlineLevel="0" collapsed="false">
      <c r="A14" s="14" t="s">
        <v>1419</v>
      </c>
      <c r="B14" s="14" t="s">
        <v>1420</v>
      </c>
      <c r="C14" s="14" t="s">
        <v>1414</v>
      </c>
      <c r="D14" s="115" t="n">
        <v>4956.3</v>
      </c>
      <c r="E14" s="125" t="n">
        <v>46295</v>
      </c>
      <c r="F14" s="126" t="n">
        <f aca="false">MAX(0,$B$4-E14)</f>
        <v>0</v>
      </c>
      <c r="G14" s="28" t="n">
        <f aca="false">IF(E14&gt;=$B$4,D14,0)</f>
        <v>4956.3</v>
      </c>
      <c r="H14" s="28" t="n">
        <f aca="false">IF(AND(F14&gt;=1,F14&lt;=30),D14,0)</f>
        <v>0</v>
      </c>
      <c r="I14" s="28" t="n">
        <f aca="false">IF(AND(F14&gt;30,F14&lt;=60),D14,0)</f>
        <v>0</v>
      </c>
      <c r="J14" s="28" t="n">
        <f aca="false">IF(AND(F14&gt;60,F14&lt;=90),D14,0)</f>
        <v>0</v>
      </c>
      <c r="K14" s="28" t="n">
        <f aca="false">IF(F14&gt;90,D14,0)</f>
        <v>0</v>
      </c>
      <c r="L14" s="47" t="s">
        <v>1350</v>
      </c>
    </row>
    <row r="15" customFormat="false" ht="15" hidden="false" customHeight="false" outlineLevel="0" collapsed="false">
      <c r="A15" s="14" t="s">
        <v>1421</v>
      </c>
      <c r="B15" s="14" t="s">
        <v>1422</v>
      </c>
      <c r="C15" s="14" t="s">
        <v>1414</v>
      </c>
      <c r="D15" s="115" t="n">
        <v>3968.56</v>
      </c>
      <c r="E15" s="125" t="n">
        <v>46295</v>
      </c>
      <c r="F15" s="126" t="n">
        <f aca="false">MAX(0,$B$4-E15)</f>
        <v>0</v>
      </c>
      <c r="G15" s="28" t="n">
        <f aca="false">IF(E15&gt;=$B$4,D15,0)</f>
        <v>3968.56</v>
      </c>
      <c r="H15" s="28" t="n">
        <f aca="false">IF(AND(F15&gt;=1,F15&lt;=30),D15,0)</f>
        <v>0</v>
      </c>
      <c r="I15" s="28" t="n">
        <f aca="false">IF(AND(F15&gt;30,F15&lt;=60),D15,0)</f>
        <v>0</v>
      </c>
      <c r="J15" s="28" t="n">
        <f aca="false">IF(AND(F15&gt;60,F15&lt;=90),D15,0)</f>
        <v>0</v>
      </c>
      <c r="K15" s="28" t="n">
        <f aca="false">IF(F15&gt;90,D15,0)</f>
        <v>0</v>
      </c>
      <c r="L15" s="47" t="s">
        <v>1350</v>
      </c>
    </row>
    <row r="16" customFormat="false" ht="15" hidden="false" customHeight="false" outlineLevel="0" collapsed="false">
      <c r="A16" s="14" t="s">
        <v>1423</v>
      </c>
      <c r="B16" s="14" t="s">
        <v>1424</v>
      </c>
      <c r="C16" s="14" t="s">
        <v>1414</v>
      </c>
      <c r="D16" s="115" t="n">
        <v>4688.93</v>
      </c>
      <c r="E16" s="125" t="n">
        <v>46295</v>
      </c>
      <c r="F16" s="126" t="n">
        <f aca="false">MAX(0,$B$4-E16)</f>
        <v>0</v>
      </c>
      <c r="G16" s="28" t="n">
        <f aca="false">IF(E16&gt;=$B$4,D16,0)</f>
        <v>4688.93</v>
      </c>
      <c r="H16" s="28" t="n">
        <f aca="false">IF(AND(F16&gt;=1,F16&lt;=30),D16,0)</f>
        <v>0</v>
      </c>
      <c r="I16" s="28" t="n">
        <f aca="false">IF(AND(F16&gt;30,F16&lt;=60),D16,0)</f>
        <v>0</v>
      </c>
      <c r="J16" s="28" t="n">
        <f aca="false">IF(AND(F16&gt;60,F16&lt;=90),D16,0)</f>
        <v>0</v>
      </c>
      <c r="K16" s="28" t="n">
        <f aca="false">IF(F16&gt;90,D16,0)</f>
        <v>0</v>
      </c>
      <c r="L16" s="47" t="s">
        <v>1350</v>
      </c>
    </row>
    <row r="17" customFormat="false" ht="15" hidden="false" customHeight="false" outlineLevel="0" collapsed="false">
      <c r="A17" s="14" t="s">
        <v>1425</v>
      </c>
      <c r="B17" s="14" t="s">
        <v>1426</v>
      </c>
      <c r="C17" s="14" t="s">
        <v>1414</v>
      </c>
      <c r="D17" s="115" t="n">
        <v>489.02</v>
      </c>
      <c r="E17" s="125" t="n">
        <v>46295</v>
      </c>
      <c r="F17" s="126" t="n">
        <f aca="false">MAX(0,$B$4-E17)</f>
        <v>0</v>
      </c>
      <c r="G17" s="28" t="n">
        <f aca="false">IF(E17&gt;=$B$4,D17,0)</f>
        <v>489.02</v>
      </c>
      <c r="H17" s="28" t="n">
        <f aca="false">IF(AND(F17&gt;=1,F17&lt;=30),D17,0)</f>
        <v>0</v>
      </c>
      <c r="I17" s="28" t="n">
        <f aca="false">IF(AND(F17&gt;30,F17&lt;=60),D17,0)</f>
        <v>0</v>
      </c>
      <c r="J17" s="28" t="n">
        <f aca="false">IF(AND(F17&gt;60,F17&lt;=90),D17,0)</f>
        <v>0</v>
      </c>
      <c r="K17" s="28" t="n">
        <f aca="false">IF(F17&gt;90,D17,0)</f>
        <v>0</v>
      </c>
      <c r="L17" s="47" t="s">
        <v>1350</v>
      </c>
    </row>
    <row r="18" customFormat="false" ht="15" hidden="false" customHeight="false" outlineLevel="0" collapsed="false">
      <c r="A18" s="14" t="s">
        <v>1427</v>
      </c>
      <c r="B18" s="14" t="s">
        <v>1428</v>
      </c>
      <c r="C18" s="14" t="s">
        <v>1414</v>
      </c>
      <c r="D18" s="115" t="n">
        <v>3406.62</v>
      </c>
      <c r="E18" s="125" t="n">
        <v>46295</v>
      </c>
      <c r="F18" s="126" t="n">
        <f aca="false">MAX(0,$B$4-E18)</f>
        <v>0</v>
      </c>
      <c r="G18" s="28" t="n">
        <f aca="false">IF(E18&gt;=$B$4,D18,0)</f>
        <v>3406.62</v>
      </c>
      <c r="H18" s="28" t="n">
        <f aca="false">IF(AND(F18&gt;=1,F18&lt;=30),D18,0)</f>
        <v>0</v>
      </c>
      <c r="I18" s="28" t="n">
        <f aca="false">IF(AND(F18&gt;30,F18&lt;=60),D18,0)</f>
        <v>0</v>
      </c>
      <c r="J18" s="28" t="n">
        <f aca="false">IF(AND(F18&gt;60,F18&lt;=90),D18,0)</f>
        <v>0</v>
      </c>
      <c r="K18" s="28" t="n">
        <f aca="false">IF(F18&gt;90,D18,0)</f>
        <v>0</v>
      </c>
      <c r="L18" s="47" t="s">
        <v>1350</v>
      </c>
    </row>
    <row r="19" customFormat="false" ht="15" hidden="false" customHeight="false" outlineLevel="0" collapsed="false">
      <c r="A19" s="14" t="s">
        <v>1429</v>
      </c>
      <c r="B19" s="14" t="s">
        <v>1430</v>
      </c>
      <c r="C19" s="14" t="s">
        <v>1414</v>
      </c>
      <c r="D19" s="115" t="n">
        <v>447.76</v>
      </c>
      <c r="E19" s="125" t="n">
        <v>46295</v>
      </c>
      <c r="F19" s="126" t="n">
        <f aca="false">MAX(0,$B$4-E19)</f>
        <v>0</v>
      </c>
      <c r="G19" s="28" t="n">
        <f aca="false">IF(E19&gt;=$B$4,D19,0)</f>
        <v>447.76</v>
      </c>
      <c r="H19" s="28" t="n">
        <f aca="false">IF(AND(F19&gt;=1,F19&lt;=30),D19,0)</f>
        <v>0</v>
      </c>
      <c r="I19" s="28" t="n">
        <f aca="false">IF(AND(F19&gt;30,F19&lt;=60),D19,0)</f>
        <v>0</v>
      </c>
      <c r="J19" s="28" t="n">
        <f aca="false">IF(AND(F19&gt;60,F19&lt;=90),D19,0)</f>
        <v>0</v>
      </c>
      <c r="K19" s="28" t="n">
        <f aca="false">IF(F19&gt;90,D19,0)</f>
        <v>0</v>
      </c>
      <c r="L19" s="47" t="s">
        <v>1350</v>
      </c>
    </row>
    <row r="20" customFormat="false" ht="15" hidden="false" customHeight="false" outlineLevel="0" collapsed="false">
      <c r="A20" s="14" t="s">
        <v>1431</v>
      </c>
      <c r="B20" s="14" t="s">
        <v>1432</v>
      </c>
      <c r="C20" s="14" t="s">
        <v>1414</v>
      </c>
      <c r="D20" s="115" t="n">
        <v>2214</v>
      </c>
      <c r="E20" s="125" t="n">
        <v>46295</v>
      </c>
      <c r="F20" s="126" t="n">
        <f aca="false">MAX(0,$B$4-E20)</f>
        <v>0</v>
      </c>
      <c r="G20" s="28" t="n">
        <f aca="false">IF(E20&gt;=$B$4,D20,0)</f>
        <v>2214</v>
      </c>
      <c r="H20" s="28" t="n">
        <f aca="false">IF(AND(F20&gt;=1,F20&lt;=30),D20,0)</f>
        <v>0</v>
      </c>
      <c r="I20" s="28" t="n">
        <f aca="false">IF(AND(F20&gt;30,F20&lt;=60),D20,0)</f>
        <v>0</v>
      </c>
      <c r="J20" s="28" t="n">
        <f aca="false">IF(AND(F20&gt;60,F20&lt;=90),D20,0)</f>
        <v>0</v>
      </c>
      <c r="K20" s="28" t="n">
        <f aca="false">IF(F20&gt;90,D20,0)</f>
        <v>0</v>
      </c>
      <c r="L20" s="47" t="s">
        <v>1350</v>
      </c>
    </row>
    <row r="21" customFormat="false" ht="15" hidden="false" customHeight="false" outlineLevel="0" collapsed="false">
      <c r="A21" s="87" t="s">
        <v>1395</v>
      </c>
      <c r="D21" s="88" t="n">
        <f aca="false">SUM(D7:D20)</f>
        <v>283532.01</v>
      </c>
      <c r="G21" s="88" t="n">
        <f aca="false">SUM(G7:G20)</f>
        <v>283532.01</v>
      </c>
      <c r="H21" s="88" t="n">
        <f aca="false">SUM(H7:H20)</f>
        <v>0</v>
      </c>
      <c r="I21" s="88" t="n">
        <f aca="false">SUM(I7:I20)</f>
        <v>0</v>
      </c>
      <c r="J21" s="88" t="n">
        <f aca="false">SUM(J7:J20)</f>
        <v>0</v>
      </c>
      <c r="K21" s="88" t="n">
        <f aca="false">SUM(K7:K20)</f>
        <v>0</v>
      </c>
    </row>
    <row r="22" customFormat="false" ht="15" hidden="false" customHeight="false" outlineLevel="0" collapsed="false">
      <c r="A22" s="13" t="s">
        <v>1396</v>
      </c>
      <c r="G22" s="127" t="n">
        <f aca="false">IF($D$21=0,0,G21/$D$21)</f>
        <v>1</v>
      </c>
      <c r="H22" s="127" t="n">
        <f aca="false">IF($D$21=0,0,H21/$D$21)</f>
        <v>0</v>
      </c>
      <c r="I22" s="127" t="n">
        <f aca="false">IF($D$21=0,0,I21/$D$21)</f>
        <v>0</v>
      </c>
      <c r="J22" s="127" t="n">
        <f aca="false">IF($D$21=0,0,J21/$D$21)</f>
        <v>0</v>
      </c>
      <c r="K22" s="127" t="n">
        <f aca="false">IF($D$21=0,0,K21/$D$21)</f>
        <v>0</v>
      </c>
    </row>
    <row r="24" customFormat="false" ht="15" hidden="false" customHeight="false" outlineLevel="0" collapsed="false">
      <c r="A24" s="5" t="s">
        <v>1433</v>
      </c>
      <c r="D24" s="28" t="n">
        <f aca="false">SUMIFS(D7:D20,C7:C20,"Hardware distributors")</f>
        <v>99562.94</v>
      </c>
      <c r="E24" s="128" t="s">
        <v>1398</v>
      </c>
      <c r="F24" s="67" t="n">
        <f aca="false">INDEX(Payables!$E$11:$AB$11,Assumptions!$C$10)</f>
        <v>99562.9462999999</v>
      </c>
      <c r="G24" s="128" t="s">
        <v>1399</v>
      </c>
      <c r="H24" s="35" t="n">
        <f aca="false">ROUND(D24-F24,0)</f>
        <v>-0</v>
      </c>
    </row>
    <row r="25" customFormat="false" ht="15" hidden="false" customHeight="false" outlineLevel="0" collapsed="false">
      <c r="A25" s="5" t="s">
        <v>1434</v>
      </c>
      <c r="D25" s="28" t="n">
        <f aca="false">SUMIFS(D7:D20,C7:C20,"Licence distributor")</f>
        <v>118786.57</v>
      </c>
      <c r="E25" s="128" t="s">
        <v>1398</v>
      </c>
      <c r="F25" s="67" t="n">
        <f aca="false">INDEX(Payables!$E$15:$AB$15,Assumptions!$C$10)</f>
        <v>118786.577</v>
      </c>
      <c r="G25" s="128" t="s">
        <v>1399</v>
      </c>
      <c r="H25" s="35" t="n">
        <f aca="false">ROUND(D25-F25,0)</f>
        <v>-0</v>
      </c>
    </row>
    <row r="26" customFormat="false" ht="15" hidden="false" customHeight="false" outlineLevel="0" collapsed="false">
      <c r="A26" s="5" t="s">
        <v>1435</v>
      </c>
      <c r="D26" s="28" t="n">
        <f aca="false">SUMIFS(D7:D20,C7:C20,"Tooling vendor (USD)")</f>
        <v>20113.03</v>
      </c>
      <c r="E26" s="128" t="s">
        <v>1398</v>
      </c>
      <c r="F26" s="67" t="n">
        <f aca="false">INDEX(Payables!$E$21:$AB$21,Assumptions!$C$10)</f>
        <v>20113.033033033</v>
      </c>
      <c r="G26" s="128" t="s">
        <v>1399</v>
      </c>
      <c r="H26" s="35" t="n">
        <f aca="false">ROUND(D26-F26,0)</f>
        <v>-0</v>
      </c>
    </row>
    <row r="27" customFormat="false" ht="15" hidden="false" customHeight="false" outlineLevel="0" collapsed="false">
      <c r="A27" s="5" t="s">
        <v>1436</v>
      </c>
      <c r="D27" s="28" t="n">
        <f aca="false">SUMIFS(D7:D20,C7:C20,"Other suppliers")</f>
        <v>45069.47</v>
      </c>
      <c r="E27" s="128" t="s">
        <v>1398</v>
      </c>
      <c r="F27" s="67" t="n">
        <f aca="false">INDEX(Payables!$E$26:$AB$26,Assumptions!$C$10)</f>
        <v>45069.4557</v>
      </c>
      <c r="G27" s="128" t="s">
        <v>1399</v>
      </c>
      <c r="H27" s="35" t="n">
        <f aca="false">ROUND(D27-F27,0)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1437</v>
      </c>
    </row>
    <row r="3" customFormat="false" ht="15" hidden="false" customHeight="false" outlineLevel="0" collapsed="false">
      <c r="A3" s="50" t="s">
        <v>1438</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1439</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1440</v>
      </c>
      <c r="B9" s="63" t="s">
        <v>1441</v>
      </c>
      <c r="C9" s="66" t="n">
        <f aca="false">SUM(E9:P9)</f>
        <v>2675262.62852903</v>
      </c>
      <c r="D9" s="66" t="n">
        <f aca="false">SUM(Q9:AB9)</f>
        <v>2665955.136</v>
      </c>
      <c r="E9" s="67" t="n">
        <f aca="false">Hardware!E17*(1+Assumptions!$C$18)</f>
        <v>171017.478</v>
      </c>
      <c r="F9" s="67" t="n">
        <f aca="false">Hardware!F17*(1+Assumptions!$C$18)</f>
        <v>213959.7546</v>
      </c>
      <c r="G9" s="67" t="n">
        <f aca="false">Hardware!G17*(1+Assumptions!$C$18)</f>
        <v>259420.5792</v>
      </c>
      <c r="H9" s="67" t="n">
        <f aca="false">Hardware!H17*(1+Assumptions!$C$18)</f>
        <v>209385.4092</v>
      </c>
      <c r="I9" s="67" t="n">
        <f aca="false">Hardware!I17*(1+Assumptions!$C$18)</f>
        <v>218285.2587</v>
      </c>
      <c r="J9" s="67" t="n">
        <f aca="false">Hardware!J17*(1+Assumptions!$C$18)</f>
        <v>272849.1534</v>
      </c>
      <c r="K9" s="67" t="n">
        <f aca="false">Hardware!K17*(1+Assumptions!$C$18)</f>
        <v>190772.2128</v>
      </c>
      <c r="L9" s="67" t="n">
        <f aca="false">Hardware!L17*(1+Assumptions!$C$18)</f>
        <v>99562.9404</v>
      </c>
      <c r="M9" s="67" t="n">
        <f aca="false">Hardware!M17*(1+Assumptions!$C$18)</f>
        <v>321225.06242</v>
      </c>
      <c r="N9" s="67" t="n">
        <f aca="false">Hardware!N17*(1+Assumptions!$C$18)</f>
        <v>291670.628583226</v>
      </c>
      <c r="O9" s="67" t="n">
        <f aca="false">Hardware!O17*(1+Assumptions!$C$18)</f>
        <v>221144.618776774</v>
      </c>
      <c r="P9" s="67" t="n">
        <f aca="false">Hardware!P17*(1+Assumptions!$C$18)</f>
        <v>205969.532449032</v>
      </c>
      <c r="Q9" s="67" t="n">
        <f aca="false">Hardware!Q17*(1+Assumptions!$C$18)</f>
        <v>186246.238141936</v>
      </c>
      <c r="R9" s="67" t="n">
        <f aca="false">Hardware!R17*(1+Assumptions!$C$18)</f>
        <v>219206.352929032</v>
      </c>
      <c r="S9" s="67" t="n">
        <f aca="false">Hardware!S17*(1+Assumptions!$C$18)</f>
        <v>237413.577909677</v>
      </c>
      <c r="T9" s="67" t="n">
        <f aca="false">Hardware!T17*(1+Assumptions!$C$18)</f>
        <v>205053.174090323</v>
      </c>
      <c r="U9" s="67" t="n">
        <f aca="false">Hardware!U17*(1+Assumptions!$C$18)</f>
        <v>224939.589780645</v>
      </c>
      <c r="V9" s="67" t="n">
        <f aca="false">Hardware!V17*(1+Assumptions!$C$18)</f>
        <v>265715.137899355</v>
      </c>
      <c r="W9" s="67" t="n">
        <f aca="false">Hardware!W17*(1+Assumptions!$C$18)</f>
        <v>181333.405894194</v>
      </c>
      <c r="X9" s="67" t="n">
        <f aca="false">Hardware!X17*(1+Assumptions!$C$18)</f>
        <v>101615.026374194</v>
      </c>
      <c r="Y9" s="67" t="n">
        <f aca="false">Hardware!Y17*(1+Assumptions!$C$18)</f>
        <v>325647.853171613</v>
      </c>
      <c r="Z9" s="67" t="n">
        <f aca="false">Hardware!Z17*(1+Assumptions!$C$18)</f>
        <v>291670.628583226</v>
      </c>
      <c r="AA9" s="67" t="n">
        <f aca="false">Hardware!AA17*(1+Assumptions!$C$18)</f>
        <v>221144.618776774</v>
      </c>
      <c r="AB9" s="67" t="n">
        <f aca="false">Hardware!AB17*(1+Assumptions!$C$18)</f>
        <v>205969.532449032</v>
      </c>
    </row>
    <row r="10" customFormat="false" ht="15" hidden="false" customHeight="false" outlineLevel="0" collapsed="false">
      <c r="A10" s="27" t="s">
        <v>1442</v>
      </c>
      <c r="B10" s="63" t="s">
        <v>1443</v>
      </c>
      <c r="C10" s="66" t="n">
        <f aca="false">SUM(E10:P10)</f>
        <v>2734567.05608</v>
      </c>
      <c r="D10" s="66" t="n">
        <f aca="false">SUM(Q10:AB10)</f>
        <v>2665955.136</v>
      </c>
      <c r="E10" s="67" t="n">
        <f aca="false">IF(E$5="A",Inputs_Actuals!E262,Inputs_Actuals!$C$293)</f>
        <v>265273.96</v>
      </c>
      <c r="F10" s="67" t="n">
        <f aca="false">IF(F$5="A",Inputs_Actuals!F262,E11)</f>
        <v>171017.48</v>
      </c>
      <c r="G10" s="67" t="n">
        <f aca="false">IF(G$5="A",Inputs_Actuals!G262,F11)</f>
        <v>213959.75</v>
      </c>
      <c r="H10" s="67" t="n">
        <f aca="false">IF(H$5="A",Inputs_Actuals!H262,G11)</f>
        <v>259420.58</v>
      </c>
      <c r="I10" s="67" t="n">
        <f aca="false">IF(I$5="A",Inputs_Actuals!I262,H11)</f>
        <v>209385.41</v>
      </c>
      <c r="J10" s="67" t="n">
        <f aca="false">IF(J$5="A",Inputs_Actuals!J262,I11)</f>
        <v>218285.26</v>
      </c>
      <c r="K10" s="67" t="n">
        <f aca="false">IF(K$5="A",Inputs_Actuals!K262,J11)</f>
        <v>272849.15</v>
      </c>
      <c r="L10" s="67" t="n">
        <f aca="false">IF(L$5="A",Inputs_Actuals!L262,K11)</f>
        <v>190772.21</v>
      </c>
      <c r="M10" s="67" t="n">
        <f aca="false">IF(M$5="A",Inputs_Actuals!M262,L11)</f>
        <v>99562.9462999999</v>
      </c>
      <c r="N10" s="67" t="n">
        <f aca="false">IF(N$5="A",Inputs_Actuals!N262,M11)</f>
        <v>321225.06242</v>
      </c>
      <c r="O10" s="67" t="n">
        <f aca="false">IF(O$5="A",Inputs_Actuals!O262,N11)</f>
        <v>291670.628583226</v>
      </c>
      <c r="P10" s="67" t="n">
        <f aca="false">IF(P$5="A",Inputs_Actuals!P262,O11)</f>
        <v>221144.618776774</v>
      </c>
      <c r="Q10" s="67" t="n">
        <f aca="false">IF(Q$5="A",Inputs_Actuals!Q262,P11)</f>
        <v>205969.532449032</v>
      </c>
      <c r="R10" s="67" t="n">
        <f aca="false">IF(R$5="A",Inputs_Actuals!R262,Q11)</f>
        <v>186246.238141936</v>
      </c>
      <c r="S10" s="67" t="n">
        <f aca="false">IF(S$5="A",Inputs_Actuals!S262,R11)</f>
        <v>219206.352929032</v>
      </c>
      <c r="T10" s="67" t="n">
        <f aca="false">IF(T$5="A",Inputs_Actuals!T262,S11)</f>
        <v>237413.577909677</v>
      </c>
      <c r="U10" s="67" t="n">
        <f aca="false">IF(U$5="A",Inputs_Actuals!U262,T11)</f>
        <v>205053.174090323</v>
      </c>
      <c r="V10" s="67" t="n">
        <f aca="false">IF(V$5="A",Inputs_Actuals!V262,U11)</f>
        <v>224939.589780645</v>
      </c>
      <c r="W10" s="67" t="n">
        <f aca="false">IF(W$5="A",Inputs_Actuals!W262,V11)</f>
        <v>265715.137899355</v>
      </c>
      <c r="X10" s="67" t="n">
        <f aca="false">IF(X$5="A",Inputs_Actuals!X262,W11)</f>
        <v>181333.405894194</v>
      </c>
      <c r="Y10" s="67" t="n">
        <f aca="false">IF(Y$5="A",Inputs_Actuals!Y262,X11)</f>
        <v>101615.026374194</v>
      </c>
      <c r="Z10" s="67" t="n">
        <f aca="false">IF(Z$5="A",Inputs_Actuals!Z262,Y11)</f>
        <v>325647.853171613</v>
      </c>
      <c r="AA10" s="67" t="n">
        <f aca="false">IF(AA$5="A",Inputs_Actuals!AA262,Z11)</f>
        <v>291670.628583226</v>
      </c>
      <c r="AB10" s="67" t="n">
        <f aca="false">IF(AB$5="A",Inputs_Actuals!AB262,AA11)</f>
        <v>221144.618776774</v>
      </c>
    </row>
    <row r="11" customFormat="false" ht="15" hidden="false" customHeight="false" outlineLevel="0" collapsed="false">
      <c r="A11" s="59" t="s">
        <v>1444</v>
      </c>
      <c r="B11" s="60"/>
      <c r="C11" s="61" t="n">
        <f aca="false">P11</f>
        <v>205969.532449032</v>
      </c>
      <c r="D11" s="61" t="n">
        <f aca="false">AB11</f>
        <v>205969.532449032</v>
      </c>
      <c r="E11" s="62" t="n">
        <f aca="false">Inputs_Actuals!$C$293+E9-E10</f>
        <v>171017.478</v>
      </c>
      <c r="F11" s="61" t="n">
        <f aca="false">E11+F9-F10</f>
        <v>213959.7526</v>
      </c>
      <c r="G11" s="61" t="n">
        <f aca="false">F11+G9-G10</f>
        <v>259420.5818</v>
      </c>
      <c r="H11" s="61" t="n">
        <f aca="false">G11+H9-H10</f>
        <v>209385.411</v>
      </c>
      <c r="I11" s="61" t="n">
        <f aca="false">H11+I9-I10</f>
        <v>218285.2597</v>
      </c>
      <c r="J11" s="61" t="n">
        <f aca="false">I11+J9-J10</f>
        <v>272849.1531</v>
      </c>
      <c r="K11" s="61" t="n">
        <f aca="false">J11+K9-K10</f>
        <v>190772.2159</v>
      </c>
      <c r="L11" s="61" t="n">
        <f aca="false">K11+L9-L10</f>
        <v>99562.9462999999</v>
      </c>
      <c r="M11" s="61" t="n">
        <f aca="false">L11+M9-M10</f>
        <v>321225.06242</v>
      </c>
      <c r="N11" s="61" t="n">
        <f aca="false">M11+N9-N10</f>
        <v>291670.628583226</v>
      </c>
      <c r="O11" s="61" t="n">
        <f aca="false">N11+O9-O10</f>
        <v>221144.618776774</v>
      </c>
      <c r="P11" s="61" t="n">
        <f aca="false">O11+P9-P10</f>
        <v>205969.532449032</v>
      </c>
      <c r="Q11" s="61" t="n">
        <f aca="false">P11+Q9-Q10</f>
        <v>186246.238141936</v>
      </c>
      <c r="R11" s="61" t="n">
        <f aca="false">Q11+R9-R10</f>
        <v>219206.352929032</v>
      </c>
      <c r="S11" s="61" t="n">
        <f aca="false">R11+S9-S10</f>
        <v>237413.577909677</v>
      </c>
      <c r="T11" s="61" t="n">
        <f aca="false">S11+T9-T10</f>
        <v>205053.174090323</v>
      </c>
      <c r="U11" s="61" t="n">
        <f aca="false">T11+U9-U10</f>
        <v>224939.589780645</v>
      </c>
      <c r="V11" s="61" t="n">
        <f aca="false">U11+V9-V10</f>
        <v>265715.137899355</v>
      </c>
      <c r="W11" s="61" t="n">
        <f aca="false">V11+W9-W10</f>
        <v>181333.405894194</v>
      </c>
      <c r="X11" s="61" t="n">
        <f aca="false">W11+X9-X10</f>
        <v>101615.026374194</v>
      </c>
      <c r="Y11" s="61" t="n">
        <f aca="false">X11+Y9-Y10</f>
        <v>325647.853171613</v>
      </c>
      <c r="Z11" s="61" t="n">
        <f aca="false">Y11+Z9-Z10</f>
        <v>291670.628583226</v>
      </c>
      <c r="AA11" s="61" t="n">
        <f aca="false">Z11+AA9-AA10</f>
        <v>221144.618776774</v>
      </c>
      <c r="AB11" s="61" t="n">
        <f aca="false">AA11+AB9-AB10</f>
        <v>205969.532449032</v>
      </c>
    </row>
    <row r="12" customFormat="false" ht="15" hidden="false" customHeight="false" outlineLevel="0" collapsed="false">
      <c r="A12" s="21" t="s">
        <v>1445</v>
      </c>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row>
    <row r="13" customFormat="false" ht="15" hidden="false" customHeight="false" outlineLevel="0" collapsed="false">
      <c r="A13" s="27" t="s">
        <v>1440</v>
      </c>
      <c r="B13" s="63" t="s">
        <v>1446</v>
      </c>
      <c r="C13" s="66" t="n">
        <f aca="false">SUM(E13:P13)</f>
        <v>2010946.32699954</v>
      </c>
      <c r="D13" s="66" t="n">
        <f aca="false">SUM(Q13:AB13)</f>
        <v>2117809.95998319</v>
      </c>
      <c r="E13" s="67" t="n">
        <f aca="false">Licences!E28*(1+Assumptions!$C$18)</f>
        <v>349276.4457</v>
      </c>
      <c r="F13" s="67" t="n">
        <f aca="false">Licences!F28*(1+Assumptions!$C$18)</f>
        <v>139566.9684</v>
      </c>
      <c r="G13" s="67" t="n">
        <f aca="false">Licences!G28*(1+Assumptions!$C$18)</f>
        <v>159995.6817</v>
      </c>
      <c r="H13" s="67" t="n">
        <f aca="false">Licences!H28*(1+Assumptions!$C$18)</f>
        <v>146302.4484</v>
      </c>
      <c r="I13" s="67" t="n">
        <f aca="false">Licences!I28*(1+Assumptions!$C$18)</f>
        <v>141212.0934</v>
      </c>
      <c r="J13" s="67" t="n">
        <f aca="false">Licences!J28*(1+Assumptions!$C$18)</f>
        <v>151673.022</v>
      </c>
      <c r="K13" s="67" t="n">
        <f aca="false">Licences!K28*(1+Assumptions!$C$18)</f>
        <v>141778.3239</v>
      </c>
      <c r="L13" s="67" t="n">
        <f aca="false">Licences!L28*(1+Assumptions!$C$18)</f>
        <v>118786.5735</v>
      </c>
      <c r="M13" s="67" t="n">
        <f aca="false">Licences!M28*(1+Assumptions!$C$18)</f>
        <v>159519.01229085</v>
      </c>
      <c r="N13" s="67" t="n">
        <f aca="false">Licences!N28*(1+Assumptions!$C$18)</f>
        <v>156769.644123452</v>
      </c>
      <c r="O13" s="67" t="n">
        <f aca="false">Licences!O28*(1+Assumptions!$C$18)</f>
        <v>163621.337645068</v>
      </c>
      <c r="P13" s="67" t="n">
        <f aca="false">Licences!P28*(1+Assumptions!$C$18)</f>
        <v>182444.775940173</v>
      </c>
      <c r="Q13" s="67" t="n">
        <f aca="false">Licences!Q28*(1+Assumptions!$C$18)</f>
        <v>367204.535563149</v>
      </c>
      <c r="R13" s="67" t="n">
        <f aca="false">Licences!R28*(1+Assumptions!$C$18)</f>
        <v>148183.123346489</v>
      </c>
      <c r="S13" s="67" t="n">
        <f aca="false">Licences!S28*(1+Assumptions!$C$18)</f>
        <v>165929.736729392</v>
      </c>
      <c r="T13" s="67" t="n">
        <f aca="false">Licences!T28*(1+Assumptions!$C$18)</f>
        <v>153168.402332027</v>
      </c>
      <c r="U13" s="67" t="n">
        <f aca="false">Licences!U28*(1+Assumptions!$C$18)</f>
        <v>149979.339068048</v>
      </c>
      <c r="V13" s="67" t="n">
        <f aca="false">Licences!V28*(1+Assumptions!$C$18)</f>
        <v>161383.269345236</v>
      </c>
      <c r="W13" s="67" t="n">
        <f aca="false">Licences!W28*(1+Assumptions!$C$18)</f>
        <v>149740.693572653</v>
      </c>
      <c r="X13" s="67" t="n">
        <f aca="false">Licences!X28*(1+Assumptions!$C$18)</f>
        <v>126935.40660711</v>
      </c>
      <c r="Y13" s="67" t="n">
        <f aca="false">Licences!Y28*(1+Assumptions!$C$18)</f>
        <v>169873.0625721</v>
      </c>
      <c r="Z13" s="67" t="n">
        <f aca="false">Licences!Z28*(1+Assumptions!$C$18)</f>
        <v>167277.281996835</v>
      </c>
      <c r="AA13" s="67" t="n">
        <f aca="false">Licences!AA28*(1+Assumptions!$C$18)</f>
        <v>169292.803095816</v>
      </c>
      <c r="AB13" s="67" t="n">
        <f aca="false">Licences!AB28*(1+Assumptions!$C$18)</f>
        <v>188842.305754329</v>
      </c>
    </row>
    <row r="14" customFormat="false" ht="15" hidden="false" customHeight="false" outlineLevel="0" collapsed="false">
      <c r="A14" s="27" t="s">
        <v>1442</v>
      </c>
      <c r="B14" s="63" t="s">
        <v>1443</v>
      </c>
      <c r="C14" s="66" t="n">
        <f aca="false">SUM(E14:P14)</f>
        <v>2022221.21105937</v>
      </c>
      <c r="D14" s="66" t="n">
        <f aca="false">SUM(Q14:AB14)</f>
        <v>2111412.43016903</v>
      </c>
      <c r="E14" s="67" t="n">
        <f aca="false">IF(E$5="A",Inputs_Actuals!E263,Inputs_Actuals!$C$294)</f>
        <v>193719.66</v>
      </c>
      <c r="F14" s="67" t="n">
        <f aca="false">IF(F$5="A",Inputs_Actuals!F263,E15)</f>
        <v>349276.45</v>
      </c>
      <c r="G14" s="67" t="n">
        <f aca="false">IF(G$5="A",Inputs_Actuals!G263,F15)</f>
        <v>139566.97</v>
      </c>
      <c r="H14" s="67" t="n">
        <f aca="false">IF(H$5="A",Inputs_Actuals!H263,G15)</f>
        <v>159995.68</v>
      </c>
      <c r="I14" s="67" t="n">
        <f aca="false">IF(I$5="A",Inputs_Actuals!I263,H15)</f>
        <v>146302.45</v>
      </c>
      <c r="J14" s="67" t="n">
        <f aca="false">IF(J$5="A",Inputs_Actuals!J263,I15)</f>
        <v>141212.09</v>
      </c>
      <c r="K14" s="67" t="n">
        <f aca="false">IF(K$5="A",Inputs_Actuals!K263,J15)</f>
        <v>151673.02</v>
      </c>
      <c r="L14" s="67" t="n">
        <f aca="false">IF(L$5="A",Inputs_Actuals!L263,K15)</f>
        <v>141778.32</v>
      </c>
      <c r="M14" s="67" t="n">
        <f aca="false">IF(M$5="A",Inputs_Actuals!M263,L15)</f>
        <v>118786.577</v>
      </c>
      <c r="N14" s="67" t="n">
        <f aca="false">IF(N$5="A",Inputs_Actuals!N263,M15)</f>
        <v>159519.01229085</v>
      </c>
      <c r="O14" s="67" t="n">
        <f aca="false">IF(O$5="A",Inputs_Actuals!O263,N15)</f>
        <v>156769.644123452</v>
      </c>
      <c r="P14" s="67" t="n">
        <f aca="false">IF(P$5="A",Inputs_Actuals!P263,O15)</f>
        <v>163621.337645068</v>
      </c>
      <c r="Q14" s="67" t="n">
        <f aca="false">IF(Q$5="A",Inputs_Actuals!Q263,P15)</f>
        <v>182444.775940173</v>
      </c>
      <c r="R14" s="67" t="n">
        <f aca="false">IF(R$5="A",Inputs_Actuals!R263,Q15)</f>
        <v>367204.535563149</v>
      </c>
      <c r="S14" s="67" t="n">
        <f aca="false">IF(S$5="A",Inputs_Actuals!S263,R15)</f>
        <v>148183.123346489</v>
      </c>
      <c r="T14" s="67" t="n">
        <f aca="false">IF(T$5="A",Inputs_Actuals!T263,S15)</f>
        <v>165929.736729392</v>
      </c>
      <c r="U14" s="67" t="n">
        <f aca="false">IF(U$5="A",Inputs_Actuals!U263,T15)</f>
        <v>153168.402332027</v>
      </c>
      <c r="V14" s="67" t="n">
        <f aca="false">IF(V$5="A",Inputs_Actuals!V263,U15)</f>
        <v>149979.339068048</v>
      </c>
      <c r="W14" s="67" t="n">
        <f aca="false">IF(W$5="A",Inputs_Actuals!W263,V15)</f>
        <v>161383.269345236</v>
      </c>
      <c r="X14" s="67" t="n">
        <f aca="false">IF(X$5="A",Inputs_Actuals!X263,W15)</f>
        <v>149740.693572653</v>
      </c>
      <c r="Y14" s="67" t="n">
        <f aca="false">IF(Y$5="A",Inputs_Actuals!Y263,X15)</f>
        <v>126935.40660711</v>
      </c>
      <c r="Z14" s="67" t="n">
        <f aca="false">IF(Z$5="A",Inputs_Actuals!Z263,Y15)</f>
        <v>169873.062572101</v>
      </c>
      <c r="AA14" s="67" t="n">
        <f aca="false">IF(AA$5="A",Inputs_Actuals!AA263,Z15)</f>
        <v>167277.281996835</v>
      </c>
      <c r="AB14" s="67" t="n">
        <f aca="false">IF(AB$5="A",Inputs_Actuals!AB263,AA15)</f>
        <v>169292.803095816</v>
      </c>
    </row>
    <row r="15" customFormat="false" ht="15" hidden="false" customHeight="false" outlineLevel="0" collapsed="false">
      <c r="A15" s="59" t="s">
        <v>1447</v>
      </c>
      <c r="B15" s="60"/>
      <c r="C15" s="61" t="n">
        <f aca="false">P15</f>
        <v>182444.775940173</v>
      </c>
      <c r="D15" s="61" t="n">
        <f aca="false">AB15</f>
        <v>188842.305754329</v>
      </c>
      <c r="E15" s="62" t="n">
        <f aca="false">Inputs_Actuals!$C$294+E13-E14</f>
        <v>349276.4457</v>
      </c>
      <c r="F15" s="61" t="n">
        <f aca="false">E15+F13-F14</f>
        <v>139566.9641</v>
      </c>
      <c r="G15" s="61" t="n">
        <f aca="false">F15+G13-G14</f>
        <v>159995.6758</v>
      </c>
      <c r="H15" s="61" t="n">
        <f aca="false">G15+H13-H14</f>
        <v>146302.4442</v>
      </c>
      <c r="I15" s="61" t="n">
        <f aca="false">H15+I13-I14</f>
        <v>141212.0876</v>
      </c>
      <c r="J15" s="61" t="n">
        <f aca="false">I15+J13-J14</f>
        <v>151673.0196</v>
      </c>
      <c r="K15" s="61" t="n">
        <f aca="false">J15+K13-K14</f>
        <v>141778.3235</v>
      </c>
      <c r="L15" s="61" t="n">
        <f aca="false">K15+L13-L14</f>
        <v>118786.577</v>
      </c>
      <c r="M15" s="61" t="n">
        <f aca="false">L15+M13-M14</f>
        <v>159519.01229085</v>
      </c>
      <c r="N15" s="61" t="n">
        <f aca="false">M15+N13-N14</f>
        <v>156769.644123452</v>
      </c>
      <c r="O15" s="61" t="n">
        <f aca="false">N15+O13-O14</f>
        <v>163621.337645068</v>
      </c>
      <c r="P15" s="61" t="n">
        <f aca="false">O15+P13-P14</f>
        <v>182444.775940173</v>
      </c>
      <c r="Q15" s="61" t="n">
        <f aca="false">P15+Q13-Q14</f>
        <v>367204.535563149</v>
      </c>
      <c r="R15" s="61" t="n">
        <f aca="false">Q15+R13-R14</f>
        <v>148183.123346489</v>
      </c>
      <c r="S15" s="61" t="n">
        <f aca="false">R15+S13-S14</f>
        <v>165929.736729392</v>
      </c>
      <c r="T15" s="61" t="n">
        <f aca="false">S15+T13-T14</f>
        <v>153168.402332027</v>
      </c>
      <c r="U15" s="61" t="n">
        <f aca="false">T15+U13-U14</f>
        <v>149979.339068048</v>
      </c>
      <c r="V15" s="61" t="n">
        <f aca="false">U15+V13-V14</f>
        <v>161383.269345236</v>
      </c>
      <c r="W15" s="61" t="n">
        <f aca="false">V15+W13-W14</f>
        <v>149740.693572653</v>
      </c>
      <c r="X15" s="61" t="n">
        <f aca="false">W15+X13-X14</f>
        <v>126935.40660711</v>
      </c>
      <c r="Y15" s="61" t="n">
        <f aca="false">X15+Y13-Y14</f>
        <v>169873.062572101</v>
      </c>
      <c r="Z15" s="61" t="n">
        <f aca="false">Y15+Z13-Z14</f>
        <v>167277.281996835</v>
      </c>
      <c r="AA15" s="61" t="n">
        <f aca="false">Z15+AA13-AA14</f>
        <v>169292.803095816</v>
      </c>
      <c r="AB15" s="61" t="n">
        <f aca="false">AA15+AB13-AB14</f>
        <v>188842.305754329</v>
      </c>
    </row>
    <row r="16" customFormat="false" ht="15" hidden="false" customHeight="false" outlineLevel="0" collapsed="false">
      <c r="A16" s="21" t="s">
        <v>1448</v>
      </c>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row>
    <row r="17" customFormat="false" ht="15" hidden="false" customHeight="false" outlineLevel="0" collapsed="false">
      <c r="A17" s="27" t="s">
        <v>1449</v>
      </c>
      <c r="B17" s="63" t="s">
        <v>75</v>
      </c>
      <c r="C17" s="66" t="n">
        <f aca="false">SUM(E17:P17)</f>
        <v>280232.847142925</v>
      </c>
      <c r="D17" s="66" t="n">
        <f aca="false">SUM(Q17:AB17)</f>
        <v>303401.827337746</v>
      </c>
      <c r="E17" s="67" t="n">
        <f aca="false">Overheads!E22</f>
        <v>22632.54</v>
      </c>
      <c r="F17" s="67" t="n">
        <f aca="false">Overheads!F22</f>
        <v>22681.16</v>
      </c>
      <c r="G17" s="67" t="n">
        <f aca="false">Overheads!G22</f>
        <v>23112.28</v>
      </c>
      <c r="H17" s="67" t="n">
        <f aca="false">Overheads!H22</f>
        <v>23160.22</v>
      </c>
      <c r="I17" s="67" t="n">
        <f aca="false">Overheads!I22</f>
        <v>22810.7</v>
      </c>
      <c r="J17" s="67" t="n">
        <f aca="false">Overheads!J22</f>
        <v>22847.76</v>
      </c>
      <c r="K17" s="67" t="n">
        <f aca="false">Overheads!K22</f>
        <v>23386.32</v>
      </c>
      <c r="L17" s="67" t="n">
        <f aca="false">Overheads!L22</f>
        <v>23441.74</v>
      </c>
      <c r="M17" s="67" t="n">
        <f aca="false">Overheads!M22</f>
        <v>23479.80946</v>
      </c>
      <c r="N17" s="67" t="n">
        <f aca="false">Overheads!N22</f>
        <v>23399.033170112</v>
      </c>
      <c r="O17" s="67" t="n">
        <f aca="false">Overheads!O22</f>
        <v>24648.6189450035</v>
      </c>
      <c r="P17" s="67" t="n">
        <f aca="false">Overheads!P22</f>
        <v>24632.6655678093</v>
      </c>
      <c r="Q17" s="67" t="n">
        <f aca="false">Overheads!Q22</f>
        <v>24923.2771806165</v>
      </c>
      <c r="R17" s="67" t="n">
        <f aca="false">Overheads!R22</f>
        <v>25254.5761683246</v>
      </c>
      <c r="S17" s="67" t="n">
        <f aca="false">Overheads!S22</f>
        <v>25103.5301064932</v>
      </c>
      <c r="T17" s="67" t="n">
        <f aca="false">Overheads!T22</f>
        <v>25294.1794572996</v>
      </c>
      <c r="U17" s="67" t="n">
        <f aca="false">Overheads!U22</f>
        <v>25315.1965968975</v>
      </c>
      <c r="V17" s="67" t="n">
        <f aca="false">Overheads!V22</f>
        <v>25358.3801408965</v>
      </c>
      <c r="W17" s="67" t="n">
        <f aca="false">Overheads!W22</f>
        <v>25381.8742695268</v>
      </c>
      <c r="X17" s="67" t="n">
        <f aca="false">Overheads!X22</f>
        <v>25289.2547676395</v>
      </c>
      <c r="Y17" s="67" t="n">
        <f aca="false">Overheads!Y22</f>
        <v>25332.4360752248</v>
      </c>
      <c r="Z17" s="67" t="n">
        <f aca="false">Overheads!Z22</f>
        <v>25361.9279760683</v>
      </c>
      <c r="AA17" s="67" t="n">
        <f aca="false">Overheads!AA22</f>
        <v>25371.8962055614</v>
      </c>
      <c r="AB17" s="67" t="n">
        <f aca="false">Overheads!AB22</f>
        <v>25415.2983931971</v>
      </c>
    </row>
    <row r="18" customFormat="false" ht="15" hidden="false" customHeight="false" outlineLevel="0" collapsed="false">
      <c r="A18" s="27" t="s">
        <v>1450</v>
      </c>
      <c r="B18" s="63"/>
      <c r="C18" s="66" t="n">
        <f aca="false">SUM(E18:P18)</f>
        <v>242255.627343739</v>
      </c>
      <c r="D18" s="66" t="n">
        <f aca="false">SUM(Q18:AB18)</f>
        <v>264679.252671854</v>
      </c>
      <c r="E18" s="67" t="n">
        <f aca="false">E17/Assumptions!E$216</f>
        <v>19340.7451717655</v>
      </c>
      <c r="F18" s="67" t="n">
        <f aca="false">F17/Assumptions!F$216</f>
        <v>19237.6251060221</v>
      </c>
      <c r="G18" s="67" t="n">
        <f aca="false">G17/Assumptions!G$216</f>
        <v>19903.7891836032</v>
      </c>
      <c r="H18" s="67" t="n">
        <f aca="false">H17/Assumptions!H$216</f>
        <v>20060.822867042</v>
      </c>
      <c r="I18" s="67" t="n">
        <f aca="false">I17/Assumptions!I$216</f>
        <v>19856.110724234</v>
      </c>
      <c r="J18" s="67" t="n">
        <f aca="false">J17/Assumptions!J$216</f>
        <v>19742.2967251361</v>
      </c>
      <c r="K18" s="67" t="n">
        <f aca="false">K17/Assumptions!K$216</f>
        <v>20113.804076718</v>
      </c>
      <c r="L18" s="67" t="n">
        <f aca="false">L17/Assumptions!L$216</f>
        <v>20113.033033033</v>
      </c>
      <c r="M18" s="67" t="n">
        <f aca="false">M17/Assumptions!M$216</f>
        <v>20483.1278548373</v>
      </c>
      <c r="N18" s="67" t="n">
        <f aca="false">N17/Assumptions!N$216</f>
        <v>20412.6608829381</v>
      </c>
      <c r="O18" s="67" t="n">
        <f aca="false">O17/Assumptions!O$216</f>
        <v>21502.7644988254</v>
      </c>
      <c r="P18" s="67" t="n">
        <f aca="false">P17/Assumptions!P$216</f>
        <v>21488.8472195842</v>
      </c>
      <c r="Q18" s="67" t="n">
        <f aca="false">Q17/Assumptions!Q$216</f>
        <v>21742.3686474888</v>
      </c>
      <c r="R18" s="67" t="n">
        <f aca="false">R17/Assumptions!R$216</f>
        <v>22031.384601173</v>
      </c>
      <c r="S18" s="67" t="n">
        <f aca="false">S17/Assumptions!S$216</f>
        <v>21899.6162492307</v>
      </c>
      <c r="T18" s="67" t="n">
        <f aca="false">T17/Assumptions!T$216</f>
        <v>22065.9334007674</v>
      </c>
      <c r="U18" s="67" t="n">
        <f aca="false">U17/Assumptions!U$216</f>
        <v>22084.2681644399</v>
      </c>
      <c r="V18" s="67" t="n">
        <f aca="false">V17/Assumptions!V$216</f>
        <v>22121.9402781964</v>
      </c>
      <c r="W18" s="67" t="n">
        <f aca="false">W17/Assumptions!W$216</f>
        <v>22142.4358976941</v>
      </c>
      <c r="X18" s="67" t="n">
        <f aca="false">X17/Assumptions!X$216</f>
        <v>22061.6372395006</v>
      </c>
      <c r="Y18" s="67" t="n">
        <f aca="false">Y17/Assumptions!Y$216</f>
        <v>22099.3074022724</v>
      </c>
      <c r="Z18" s="67" t="n">
        <f aca="false">Z17/Assumptions!Z$216</f>
        <v>22125.0353101878</v>
      </c>
      <c r="AA18" s="67" t="n">
        <f aca="false">AA17/Assumptions!AA$216</f>
        <v>22133.7313142819</v>
      </c>
      <c r="AB18" s="67" t="n">
        <f aca="false">AB17/Assumptions!AB$216</f>
        <v>22171.5941666205</v>
      </c>
    </row>
    <row r="19" customFormat="false" ht="15" hidden="false" customHeight="false" outlineLevel="0" collapsed="false">
      <c r="A19" s="27" t="s">
        <v>1451</v>
      </c>
      <c r="B19" s="63" t="s">
        <v>1452</v>
      </c>
      <c r="C19" s="66" t="n">
        <f aca="false">SUM(E19:P19)</f>
        <v>240504.970361263</v>
      </c>
      <c r="D19" s="66" t="n">
        <f aca="false">SUM(Q19:AB19)</f>
        <v>263996.505724817</v>
      </c>
      <c r="E19" s="67" t="n">
        <f aca="false">IF(E$5="A",Inputs_Actuals!E265,Inputs_Actuals!$C$295)</f>
        <v>19321.57</v>
      </c>
      <c r="F19" s="67" t="n">
        <f aca="false">IF(F$5="A",Inputs_Actuals!F265,E17/Assumptions!F$216)</f>
        <v>19196.39</v>
      </c>
      <c r="G19" s="67" t="n">
        <f aca="false">IF(G$5="A",Inputs_Actuals!G265,F17/Assumptions!G$216)</f>
        <v>19532.52</v>
      </c>
      <c r="H19" s="67" t="n">
        <f aca="false">IF(H$5="A",Inputs_Actuals!H265,G17/Assumptions!H$216)</f>
        <v>20019.3</v>
      </c>
      <c r="I19" s="67" t="n">
        <f aca="false">IF(I$5="A",Inputs_Actuals!I265,H17/Assumptions!I$216)</f>
        <v>20160.36</v>
      </c>
      <c r="J19" s="67" t="n">
        <f aca="false">IF(J$5="A",Inputs_Actuals!J265,I17/Assumptions!J$216)</f>
        <v>19710.27</v>
      </c>
      <c r="K19" s="67" t="n">
        <f aca="false">IF(K$5="A",Inputs_Actuals!K265,J17/Assumptions!K$216)</f>
        <v>19650.61</v>
      </c>
      <c r="L19" s="67" t="n">
        <f aca="false">IF(L$5="A",Inputs_Actuals!L265,K17/Assumptions!L$216)</f>
        <v>20065.48</v>
      </c>
      <c r="M19" s="67" t="n">
        <f aca="false">IF(M$5="A",Inputs_Actuals!M265,L17/Assumptions!M$216)</f>
        <v>20449.917124662</v>
      </c>
      <c r="N19" s="67" t="n">
        <f aca="false">IF(N$5="A",Inputs_Actuals!N265,M17/Assumptions!N$216)</f>
        <v>20483.1278548373</v>
      </c>
      <c r="O19" s="67" t="n">
        <f aca="false">IF(O$5="A",Inputs_Actuals!O265,N17/Assumptions!O$216)</f>
        <v>20412.6608829381</v>
      </c>
      <c r="P19" s="67" t="n">
        <f aca="false">IF(P$5="A",Inputs_Actuals!P265,O17/Assumptions!P$216)</f>
        <v>21502.7644988254</v>
      </c>
      <c r="Q19" s="67" t="n">
        <f aca="false">IF(Q$5="A",Inputs_Actuals!Q265,P17/Assumptions!Q$216)</f>
        <v>21488.8472195842</v>
      </c>
      <c r="R19" s="67" t="n">
        <f aca="false">IF(R$5="A",Inputs_Actuals!R265,Q17/Assumptions!R$216)</f>
        <v>21742.3686474888</v>
      </c>
      <c r="S19" s="67" t="n">
        <f aca="false">IF(S$5="A",Inputs_Actuals!S265,R17/Assumptions!S$216)</f>
        <v>22031.384601173</v>
      </c>
      <c r="T19" s="67" t="n">
        <f aca="false">IF(T$5="A",Inputs_Actuals!T265,S17/Assumptions!T$216)</f>
        <v>21899.6162492307</v>
      </c>
      <c r="U19" s="67" t="n">
        <f aca="false">IF(U$5="A",Inputs_Actuals!U265,T17/Assumptions!U$216)</f>
        <v>22065.9334007674</v>
      </c>
      <c r="V19" s="67" t="n">
        <f aca="false">IF(V$5="A",Inputs_Actuals!V265,U17/Assumptions!V$216)</f>
        <v>22084.2681644399</v>
      </c>
      <c r="W19" s="67" t="n">
        <f aca="false">IF(W$5="A",Inputs_Actuals!W265,V17/Assumptions!W$216)</f>
        <v>22121.9402781964</v>
      </c>
      <c r="X19" s="67" t="n">
        <f aca="false">IF(X$5="A",Inputs_Actuals!X265,W17/Assumptions!X$216)</f>
        <v>22142.4358976941</v>
      </c>
      <c r="Y19" s="67" t="n">
        <f aca="false">IF(Y$5="A",Inputs_Actuals!Y265,X17/Assumptions!Y$216)</f>
        <v>22061.6372395006</v>
      </c>
      <c r="Z19" s="67" t="n">
        <f aca="false">IF(Z$5="A",Inputs_Actuals!Z265,Y17/Assumptions!Z$216)</f>
        <v>22099.3074022724</v>
      </c>
      <c r="AA19" s="67" t="n">
        <f aca="false">IF(AA$5="A",Inputs_Actuals!AA265,Z17/Assumptions!AA$216)</f>
        <v>22125.0353101878</v>
      </c>
      <c r="AB19" s="67" t="n">
        <f aca="false">IF(AB$5="A",Inputs_Actuals!AB265,AA17/Assumptions!AB$216)</f>
        <v>22133.7313142819</v>
      </c>
    </row>
    <row r="20" customFormat="false" ht="15" hidden="false" customHeight="false" outlineLevel="0" collapsed="false">
      <c r="A20" s="27" t="s">
        <v>1453</v>
      </c>
      <c r="B20" s="63" t="s">
        <v>1454</v>
      </c>
      <c r="C20" s="66" t="n">
        <f aca="false">SUM(E20:P20)</f>
        <v>-426.520237108129</v>
      </c>
      <c r="D20" s="66" t="n">
        <f aca="false">SUM(Q20:AB20)</f>
        <v>0</v>
      </c>
      <c r="E20" s="67" t="n">
        <f aca="false">Inputs_Actuals!$C$295-E19</f>
        <v>-9.90000000000146</v>
      </c>
      <c r="F20" s="76" t="n">
        <f aca="false">E21-F19</f>
        <v>144.355171765514</v>
      </c>
      <c r="G20" s="76" t="n">
        <f aca="false">F21-G19</f>
        <v>-294.894893977948</v>
      </c>
      <c r="H20" s="76" t="n">
        <f aca="false">G21-H19</f>
        <v>-115.510816396836</v>
      </c>
      <c r="I20" s="76" t="n">
        <f aca="false">H21-I19</f>
        <v>-99.5371329579939</v>
      </c>
      <c r="J20" s="76" t="n">
        <f aca="false">I21-J19</f>
        <v>145.840724233978</v>
      </c>
      <c r="K20" s="76" t="n">
        <f aca="false">J21-K19</f>
        <v>91.6867251360891</v>
      </c>
      <c r="L20" s="76" t="n">
        <f aca="false">K21-L19</f>
        <v>48.324076717985</v>
      </c>
      <c r="M20" s="76" t="n">
        <f aca="false">L21-M19</f>
        <v>-336.884091628916</v>
      </c>
      <c r="N20" s="76" t="n">
        <f aca="false">M21-N19</f>
        <v>0</v>
      </c>
      <c r="O20" s="76" t="n">
        <f aca="false">N21-O19</f>
        <v>0</v>
      </c>
      <c r="P20" s="76" t="n">
        <f aca="false">O21-P19</f>
        <v>0</v>
      </c>
      <c r="Q20" s="76" t="n">
        <f aca="false">P21-Q19</f>
        <v>0</v>
      </c>
      <c r="R20" s="76" t="n">
        <f aca="false">Q21-R19</f>
        <v>0</v>
      </c>
      <c r="S20" s="76" t="n">
        <f aca="false">R21-S19</f>
        <v>0</v>
      </c>
      <c r="T20" s="76" t="n">
        <f aca="false">S21-T19</f>
        <v>0</v>
      </c>
      <c r="U20" s="76" t="n">
        <f aca="false">T21-U19</f>
        <v>0</v>
      </c>
      <c r="V20" s="76" t="n">
        <f aca="false">U21-V19</f>
        <v>0</v>
      </c>
      <c r="W20" s="76" t="n">
        <f aca="false">V21-W19</f>
        <v>0</v>
      </c>
      <c r="X20" s="76" t="n">
        <f aca="false">W21-X19</f>
        <v>0</v>
      </c>
      <c r="Y20" s="76" t="n">
        <f aca="false">X21-Y19</f>
        <v>0</v>
      </c>
      <c r="Z20" s="76" t="n">
        <f aca="false">Y21-Z19</f>
        <v>0</v>
      </c>
      <c r="AA20" s="76" t="n">
        <f aca="false">Z21-AA19</f>
        <v>0</v>
      </c>
      <c r="AB20" s="76" t="n">
        <f aca="false">AA21-AB19</f>
        <v>0</v>
      </c>
    </row>
    <row r="21" customFormat="false" ht="15" hidden="false" customHeight="false" outlineLevel="0" collapsed="false">
      <c r="A21" s="59" t="s">
        <v>1455</v>
      </c>
      <c r="B21" s="60"/>
      <c r="C21" s="61" t="n">
        <f aca="false">P21</f>
        <v>21488.8472195842</v>
      </c>
      <c r="D21" s="61" t="n">
        <f aca="false">AB21</f>
        <v>22171.5941666205</v>
      </c>
      <c r="E21" s="62" t="n">
        <f aca="false">Inputs_Actuals!$C$295+E18-E19-E20</f>
        <v>19340.7451717655</v>
      </c>
      <c r="F21" s="61" t="n">
        <f aca="false">E21+F18-F19-F20</f>
        <v>19237.6251060221</v>
      </c>
      <c r="G21" s="61" t="n">
        <f aca="false">F21+G18-G19-G20</f>
        <v>19903.7891836032</v>
      </c>
      <c r="H21" s="61" t="n">
        <f aca="false">G21+H18-H19-H20</f>
        <v>20060.822867042</v>
      </c>
      <c r="I21" s="61" t="n">
        <f aca="false">H21+I18-I19-I20</f>
        <v>19856.110724234</v>
      </c>
      <c r="J21" s="61" t="n">
        <f aca="false">I21+J18-J19-J20</f>
        <v>19742.2967251361</v>
      </c>
      <c r="K21" s="61" t="n">
        <f aca="false">J21+K18-K19-K20</f>
        <v>20113.804076718</v>
      </c>
      <c r="L21" s="61" t="n">
        <f aca="false">K21+L18-L19-L20</f>
        <v>20113.033033033</v>
      </c>
      <c r="M21" s="61" t="n">
        <f aca="false">L21+M18-M19-M20</f>
        <v>20483.1278548373</v>
      </c>
      <c r="N21" s="61" t="n">
        <f aca="false">M21+N18-N19-N20</f>
        <v>20412.6608829382</v>
      </c>
      <c r="O21" s="61" t="n">
        <f aca="false">N21+O18-O19-O20</f>
        <v>21502.7644988254</v>
      </c>
      <c r="P21" s="61" t="n">
        <f aca="false">O21+P18-P19-P20</f>
        <v>21488.8472195842</v>
      </c>
      <c r="Q21" s="61" t="n">
        <f aca="false">P21+Q18-Q19-Q20</f>
        <v>21742.3686474889</v>
      </c>
      <c r="R21" s="61" t="n">
        <f aca="false">Q21+R18-R19-R20</f>
        <v>22031.384601173</v>
      </c>
      <c r="S21" s="61" t="n">
        <f aca="false">R21+S18-S19-S20</f>
        <v>21899.6162492308</v>
      </c>
      <c r="T21" s="61" t="n">
        <f aca="false">S21+T18-T19-T20</f>
        <v>22065.9334007674</v>
      </c>
      <c r="U21" s="61" t="n">
        <f aca="false">T21+U18-U19-U20</f>
        <v>22084.2681644399</v>
      </c>
      <c r="V21" s="61" t="n">
        <f aca="false">U21+V18-V19-V20</f>
        <v>22121.9402781964</v>
      </c>
      <c r="W21" s="61" t="n">
        <f aca="false">V21+W18-W19-W20</f>
        <v>22142.4358976942</v>
      </c>
      <c r="X21" s="61" t="n">
        <f aca="false">W21+X18-X19-X20</f>
        <v>22061.6372395006</v>
      </c>
      <c r="Y21" s="61" t="n">
        <f aca="false">X21+Y18-Y19-Y20</f>
        <v>22099.3074022724</v>
      </c>
      <c r="Z21" s="61" t="n">
        <f aca="false">Y21+Z18-Z19-Z20</f>
        <v>22125.0353101878</v>
      </c>
      <c r="AA21" s="61" t="n">
        <f aca="false">Z21+AA18-AA19-AA20</f>
        <v>22133.7313142819</v>
      </c>
      <c r="AB21" s="61" t="n">
        <f aca="false">AA21+AB18-AB19-AB20</f>
        <v>22171.5941666205</v>
      </c>
    </row>
    <row r="22" customFormat="false" ht="15" hidden="false" customHeight="false" outlineLevel="0" collapsed="false">
      <c r="A22" s="21" t="s">
        <v>1456</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row>
    <row r="23" customFormat="false" ht="15" hidden="false" customHeight="false" outlineLevel="0" collapsed="false">
      <c r="A23" s="27" t="s">
        <v>1457</v>
      </c>
      <c r="B23" s="63"/>
      <c r="C23" s="66" t="n">
        <f aca="false">SUM(E23:P23)</f>
        <v>545307.687678593</v>
      </c>
      <c r="D23" s="66" t="n">
        <f aca="false">SUM(Q23:AB23)</f>
        <v>562991.228727196</v>
      </c>
      <c r="E23" s="67" t="n">
        <f aca="false">Overheads!E10+Overheads!E12+Overheads!E13+Overheads!E14+Overheads!E17+Overheads!E24+Projects!E176+Fixed_Assets!E8</f>
        <v>30764.34</v>
      </c>
      <c r="F23" s="67" t="n">
        <f aca="false">Overheads!F10+Overheads!F12+Overheads!F13+Overheads!F14+Overheads!F17+Overheads!F24+Projects!F176+Fixed_Assets!F8</f>
        <v>36114.37</v>
      </c>
      <c r="G23" s="67" t="n">
        <f aca="false">Overheads!G10+Overheads!G12+Overheads!G13+Overheads!G14+Overheads!G17+Overheads!G24+Projects!G176+Fixed_Assets!G8</f>
        <v>57486.13</v>
      </c>
      <c r="H23" s="67" t="n">
        <f aca="false">Overheads!H10+Overheads!H12+Overheads!H13+Overheads!H14+Overheads!H17+Overheads!H24+Projects!H176+Fixed_Assets!H8</f>
        <v>41752.81</v>
      </c>
      <c r="I23" s="67" t="n">
        <f aca="false">Overheads!I10+Overheads!I12+Overheads!I13+Overheads!I14+Overheads!I17+Overheads!I24+Projects!I176+Fixed_Assets!I8</f>
        <v>49565.44</v>
      </c>
      <c r="J23" s="67" t="n">
        <f aca="false">Overheads!J10+Overheads!J12+Overheads!J13+Overheads!J14+Overheads!J17+Overheads!J24+Projects!J176+Fixed_Assets!J8</f>
        <v>49165.46</v>
      </c>
      <c r="K23" s="67" t="n">
        <f aca="false">Overheads!K10+Overheads!K12+Overheads!K13+Overheads!K14+Overheads!K17+Overheads!K24+Projects!K176+Fixed_Assets!K8</f>
        <v>48129.23</v>
      </c>
      <c r="L23" s="67" t="n">
        <f aca="false">Overheads!L10+Overheads!L12+Overheads!L13+Overheads!L14+Overheads!L17+Overheads!L24+Projects!L176+Fixed_Assets!L8</f>
        <v>36277.81</v>
      </c>
      <c r="M23" s="67" t="n">
        <f aca="false">Overheads!M10+Overheads!M12+Overheads!M13+Overheads!M14+Overheads!M17+Overheads!M24+Projects!M176+Fixed_Assets!M8</f>
        <v>39438.0807333333</v>
      </c>
      <c r="N23" s="67" t="n">
        <f aca="false">Overheads!N10+Overheads!N12+Overheads!N13+Overheads!N14+Overheads!N17+Overheads!N24+Projects!N176+Fixed_Assets!N8</f>
        <v>62299.5892645387</v>
      </c>
      <c r="O23" s="67" t="n">
        <f aca="false">Overheads!O10+Overheads!O12+Overheads!O13+Overheads!O14+Overheads!O17+Overheads!O24+Projects!O176+Fixed_Assets!O8</f>
        <v>54997.1055650881</v>
      </c>
      <c r="P23" s="67" t="n">
        <f aca="false">Overheads!P10+Overheads!P12+Overheads!P13+Overheads!P14+Overheads!P17+Overheads!P24+Projects!P176+Fixed_Assets!P8</f>
        <v>39317.3221156325</v>
      </c>
      <c r="Q23" s="67" t="n">
        <f aca="false">Overheads!Q10+Overheads!Q12+Overheads!Q13+Overheads!Q14+Overheads!Q17+Overheads!Q24+Projects!Q176+Fixed_Assets!Q8</f>
        <v>54785.5568105982</v>
      </c>
      <c r="R23" s="67" t="n">
        <f aca="false">Overheads!R10+Overheads!R12+Overheads!R13+Overheads!R14+Overheads!R17+Overheads!R24+Projects!R176+Fixed_Assets!R8</f>
        <v>43445.0759005701</v>
      </c>
      <c r="S23" s="67" t="n">
        <f aca="false">Overheads!S10+Overheads!S12+Overheads!S13+Overheads!S14+Overheads!S17+Overheads!S24+Projects!S176+Fixed_Assets!S8</f>
        <v>55222.8175265841</v>
      </c>
      <c r="T23" s="67" t="n">
        <f aca="false">Overheads!T10+Overheads!T12+Overheads!T13+Overheads!T14+Overheads!T17+Overheads!T24+Projects!T176+Fixed_Assets!T8</f>
        <v>47426.0477733998</v>
      </c>
      <c r="U23" s="67" t="n">
        <f aca="false">Overheads!U10+Overheads!U12+Overheads!U13+Overheads!U14+Overheads!U17+Overheads!U24+Projects!U176+Fixed_Assets!U8</f>
        <v>49178.3852302735</v>
      </c>
      <c r="V23" s="67" t="n">
        <f aca="false">Overheads!V10+Overheads!V12+Overheads!V13+Overheads!V14+Overheads!V17+Overheads!V24+Projects!V176+Fixed_Assets!V8</f>
        <v>48333.4529595799</v>
      </c>
      <c r="W23" s="67" t="n">
        <f aca="false">Overheads!W10+Overheads!W12+Overheads!W13+Overheads!W14+Overheads!W17+Overheads!W24+Projects!W176+Fixed_Assets!W8</f>
        <v>43028.9847419203</v>
      </c>
      <c r="X23" s="67" t="n">
        <f aca="false">Overheads!X10+Overheads!X12+Overheads!X13+Overheads!X14+Overheads!X17+Overheads!X24+Projects!X176+Fixed_Assets!X8</f>
        <v>36575.4358608003</v>
      </c>
      <c r="Y23" s="67" t="n">
        <f aca="false">Overheads!Y10+Overheads!Y12+Overheads!Y13+Overheads!Y14+Overheads!Y17+Overheads!Y24+Projects!Y176+Fixed_Assets!Y8</f>
        <v>44365.9415487269</v>
      </c>
      <c r="Z23" s="67" t="n">
        <f aca="false">Overheads!Z10+Overheads!Z12+Overheads!Z13+Overheads!Z14+Overheads!Z17+Overheads!Z24+Projects!Z176+Fixed_Assets!Z8</f>
        <v>51356.554820285</v>
      </c>
      <c r="AA23" s="67" t="n">
        <f aca="false">Overheads!AA10+Overheads!AA12+Overheads!AA13+Overheads!AA14+Overheads!AA17+Overheads!AA24+Projects!AA176+Fixed_Assets!AA8</f>
        <v>44907.0882854147</v>
      </c>
      <c r="AB23" s="67" t="n">
        <f aca="false">Overheads!AB10+Overheads!AB12+Overheads!AB13+Overheads!AB14+Overheads!AB17+Overheads!AB24+Projects!AB176+Fixed_Assets!AB8</f>
        <v>44365.8872690427</v>
      </c>
    </row>
    <row r="24" customFormat="false" ht="15" hidden="false" customHeight="false" outlineLevel="0" collapsed="false">
      <c r="A24" s="27" t="s">
        <v>1458</v>
      </c>
      <c r="B24" s="63"/>
      <c r="C24" s="66" t="n">
        <f aca="false">SUM(E24:P24)</f>
        <v>676066.615844669</v>
      </c>
      <c r="D24" s="66" t="n">
        <f aca="false">SUM(Q24:AB24)</f>
        <v>698014.211334451</v>
      </c>
      <c r="E24" s="67" t="n">
        <f aca="false">E23*(1+Assumptions!$C$18)+Overheads!E18</f>
        <v>38265.7182</v>
      </c>
      <c r="F24" s="67" t="n">
        <f aca="false">F23*(1+Assumptions!$C$18)+Overheads!F18</f>
        <v>44873.8951</v>
      </c>
      <c r="G24" s="67" t="n">
        <f aca="false">G23*(1+Assumptions!$C$18)+Overheads!G18</f>
        <v>71149.6399</v>
      </c>
      <c r="H24" s="67" t="n">
        <f aca="false">H23*(1+Assumptions!$C$18)+Overheads!H18</f>
        <v>51792.6263</v>
      </c>
      <c r="I24" s="67" t="n">
        <f aca="false">I23*(1+Assumptions!$C$18)+Overheads!I18</f>
        <v>61416.5312</v>
      </c>
      <c r="J24" s="67" t="n">
        <f aca="false">J23*(1+Assumptions!$C$18)+Overheads!J18</f>
        <v>60928.0358</v>
      </c>
      <c r="K24" s="67" t="n">
        <f aca="false">K23*(1+Assumptions!$C$18)+Overheads!K18</f>
        <v>59626.6229</v>
      </c>
      <c r="L24" s="67" t="n">
        <f aca="false">L23*(1+Assumptions!$C$18)+Overheads!L18</f>
        <v>45069.4663</v>
      </c>
      <c r="M24" s="67" t="n">
        <f aca="false">M23*(1+Assumptions!$C$18)+Overheads!M18</f>
        <v>48958.839302</v>
      </c>
      <c r="N24" s="67" t="n">
        <f aca="false">N23*(1+Assumptions!$C$18)+Overheads!N18</f>
        <v>77078.4947953826</v>
      </c>
      <c r="O24" s="67" t="n">
        <f aca="false">O23*(1+Assumptions!$C$18)+Overheads!O18</f>
        <v>68096.4398450583</v>
      </c>
      <c r="P24" s="67" t="n">
        <f aca="false">P23*(1+Assumptions!$C$18)+Overheads!P18</f>
        <v>48810.3062022279</v>
      </c>
      <c r="Q24" s="67" t="n">
        <f aca="false">Q23*(1+Assumptions!$C$18)+Overheads!Q18</f>
        <v>67847.4848770358</v>
      </c>
      <c r="R24" s="67" t="n">
        <f aca="false">R23*(1+Assumptions!$C$18)+Overheads!R18</f>
        <v>53898.6933577013</v>
      </c>
      <c r="S24" s="67" t="n">
        <f aca="false">S23*(1+Assumptions!$C$18)+Overheads!S18</f>
        <v>68385.3155576985</v>
      </c>
      <c r="T24" s="67" t="n">
        <f aca="false">T23*(1+Assumptions!$C$18)+Overheads!T18</f>
        <v>58795.2887612818</v>
      </c>
      <c r="U24" s="67" t="n">
        <f aca="false">U23*(1+Assumptions!$C$18)+Overheads!U18</f>
        <v>60950.6638332364</v>
      </c>
      <c r="V24" s="67" t="n">
        <f aca="false">V23*(1+Assumptions!$C$18)+Overheads!V18</f>
        <v>59911.3971402832</v>
      </c>
      <c r="W24" s="67" t="n">
        <f aca="false">W23*(1+Assumptions!$C$18)+Overheads!W18</f>
        <v>53386.9012325619</v>
      </c>
      <c r="X24" s="67" t="n">
        <f aca="false">X23*(1+Assumptions!$C$18)+Overheads!X18</f>
        <v>45449.0361087844</v>
      </c>
      <c r="Y24" s="67" t="n">
        <f aca="false">Y23*(1+Assumptions!$C$18)+Overheads!Y18</f>
        <v>55031.3581049341</v>
      </c>
      <c r="Z24" s="67" t="n">
        <f aca="false">Z23*(1+Assumptions!$C$18)+Overheads!Z18</f>
        <v>63629.8124289506</v>
      </c>
      <c r="AA24" s="67" t="n">
        <f aca="false">AA23*(1+Assumptions!$C$18)+Overheads!AA18</f>
        <v>55696.9685910601</v>
      </c>
      <c r="AB24" s="67" t="n">
        <f aca="false">AB23*(1+Assumptions!$C$18)+Overheads!AB18</f>
        <v>55031.2913409225</v>
      </c>
    </row>
    <row r="25" customFormat="false" ht="15" hidden="false" customHeight="false" outlineLevel="0" collapsed="false">
      <c r="A25" s="27" t="s">
        <v>1442</v>
      </c>
      <c r="B25" s="63" t="s">
        <v>1443</v>
      </c>
      <c r="C25" s="66" t="n">
        <f aca="false">SUM(E25:P25)</f>
        <v>668298.199642441</v>
      </c>
      <c r="D25" s="66" t="n">
        <f aca="false">SUM(Q25:AB25)</f>
        <v>691793.226195756</v>
      </c>
      <c r="E25" s="67" t="n">
        <f aca="false">IF(E$5="A",Inputs_Actuals!E264,Inputs_Actuals!$C$296)</f>
        <v>41041.89</v>
      </c>
      <c r="F25" s="67" t="n">
        <f aca="false">IF(F$5="A",Inputs_Actuals!F264,E26)</f>
        <v>38265.72</v>
      </c>
      <c r="G25" s="67" t="n">
        <f aca="false">IF(G$5="A",Inputs_Actuals!G264,F26)</f>
        <v>44873.9</v>
      </c>
      <c r="H25" s="67" t="n">
        <f aca="false">IF(H$5="A",Inputs_Actuals!H264,G26)</f>
        <v>71149.64</v>
      </c>
      <c r="I25" s="67" t="n">
        <f aca="false">IF(I$5="A",Inputs_Actuals!I264,H26)</f>
        <v>51792.63</v>
      </c>
      <c r="J25" s="67" t="n">
        <f aca="false">IF(J$5="A",Inputs_Actuals!J264,I26)</f>
        <v>61416.53</v>
      </c>
      <c r="K25" s="67" t="n">
        <f aca="false">IF(K$5="A",Inputs_Actuals!K264,J26)</f>
        <v>60928.04</v>
      </c>
      <c r="L25" s="67" t="n">
        <f aca="false">IF(L$5="A",Inputs_Actuals!L264,K26)</f>
        <v>59626.62</v>
      </c>
      <c r="M25" s="67" t="n">
        <f aca="false">IF(M$5="A",Inputs_Actuals!M264,L26)</f>
        <v>45069.4557</v>
      </c>
      <c r="N25" s="67" t="n">
        <f aca="false">IF(N$5="A",Inputs_Actuals!N264,M26)</f>
        <v>48958.839302</v>
      </c>
      <c r="O25" s="67" t="n">
        <f aca="false">IF(O$5="A",Inputs_Actuals!O264,N26)</f>
        <v>77078.4947953826</v>
      </c>
      <c r="P25" s="67" t="n">
        <f aca="false">IF(P$5="A",Inputs_Actuals!P264,O26)</f>
        <v>68096.4398450583</v>
      </c>
      <c r="Q25" s="67" t="n">
        <f aca="false">IF(Q$5="A",Inputs_Actuals!Q264,P26)</f>
        <v>48810.306202228</v>
      </c>
      <c r="R25" s="67" t="n">
        <f aca="false">IF(R$5="A",Inputs_Actuals!R264,Q26)</f>
        <v>67847.4848770358</v>
      </c>
      <c r="S25" s="67" t="n">
        <f aca="false">IF(S$5="A",Inputs_Actuals!S264,R26)</f>
        <v>53898.6933577013</v>
      </c>
      <c r="T25" s="67" t="n">
        <f aca="false">IF(T$5="A",Inputs_Actuals!T264,S26)</f>
        <v>68385.3155576985</v>
      </c>
      <c r="U25" s="67" t="n">
        <f aca="false">IF(U$5="A",Inputs_Actuals!U264,T26)</f>
        <v>58795.2887612818</v>
      </c>
      <c r="V25" s="67" t="n">
        <f aca="false">IF(V$5="A",Inputs_Actuals!V264,U26)</f>
        <v>60950.6638332364</v>
      </c>
      <c r="W25" s="67" t="n">
        <f aca="false">IF(W$5="A",Inputs_Actuals!W264,V26)</f>
        <v>59911.3971402832</v>
      </c>
      <c r="X25" s="67" t="n">
        <f aca="false">IF(X$5="A",Inputs_Actuals!X264,W26)</f>
        <v>53386.9012325619</v>
      </c>
      <c r="Y25" s="67" t="n">
        <f aca="false">IF(Y$5="A",Inputs_Actuals!Y264,X26)</f>
        <v>45449.0361087844</v>
      </c>
      <c r="Z25" s="67" t="n">
        <f aca="false">IF(Z$5="A",Inputs_Actuals!Z264,Y26)</f>
        <v>55031.3581049341</v>
      </c>
      <c r="AA25" s="67" t="n">
        <f aca="false">IF(AA$5="A",Inputs_Actuals!AA264,Z26)</f>
        <v>63629.8124289506</v>
      </c>
      <c r="AB25" s="67" t="n">
        <f aca="false">IF(AB$5="A",Inputs_Actuals!AB264,AA26)</f>
        <v>55696.9685910601</v>
      </c>
    </row>
    <row r="26" customFormat="false" ht="15" hidden="false" customHeight="false" outlineLevel="0" collapsed="false">
      <c r="A26" s="59" t="s">
        <v>1459</v>
      </c>
      <c r="B26" s="60"/>
      <c r="C26" s="61" t="n">
        <f aca="false">P26</f>
        <v>48810.306202228</v>
      </c>
      <c r="D26" s="61" t="n">
        <f aca="false">AB26</f>
        <v>55031.2913409225</v>
      </c>
      <c r="E26" s="62" t="n">
        <f aca="false">Inputs_Actuals!$C$296+E24-E25</f>
        <v>38265.7182</v>
      </c>
      <c r="F26" s="61" t="n">
        <f aca="false">E26+F24-F25</f>
        <v>44873.8933</v>
      </c>
      <c r="G26" s="61" t="n">
        <f aca="false">F26+G24-G25</f>
        <v>71149.6332</v>
      </c>
      <c r="H26" s="61" t="n">
        <f aca="false">G26+H24-H25</f>
        <v>51792.6195</v>
      </c>
      <c r="I26" s="61" t="n">
        <f aca="false">H26+I24-I25</f>
        <v>61416.5207</v>
      </c>
      <c r="J26" s="61" t="n">
        <f aca="false">I26+J24-J25</f>
        <v>60928.0265</v>
      </c>
      <c r="K26" s="61" t="n">
        <f aca="false">J26+K24-K25</f>
        <v>59626.6094</v>
      </c>
      <c r="L26" s="61" t="n">
        <f aca="false">K26+L24-L25</f>
        <v>45069.4557</v>
      </c>
      <c r="M26" s="61" t="n">
        <f aca="false">L26+M24-M25</f>
        <v>48958.839302</v>
      </c>
      <c r="N26" s="61" t="n">
        <f aca="false">M26+N24-N25</f>
        <v>77078.4947953826</v>
      </c>
      <c r="O26" s="61" t="n">
        <f aca="false">N26+O24-O25</f>
        <v>68096.4398450583</v>
      </c>
      <c r="P26" s="61" t="n">
        <f aca="false">O26+P24-P25</f>
        <v>48810.306202228</v>
      </c>
      <c r="Q26" s="61" t="n">
        <f aca="false">P26+Q24-Q25</f>
        <v>67847.4848770358</v>
      </c>
      <c r="R26" s="61" t="n">
        <f aca="false">Q26+R24-R25</f>
        <v>53898.6933577013</v>
      </c>
      <c r="S26" s="61" t="n">
        <f aca="false">R26+S24-S25</f>
        <v>68385.3155576985</v>
      </c>
      <c r="T26" s="61" t="n">
        <f aca="false">S26+T24-T25</f>
        <v>58795.2887612818</v>
      </c>
      <c r="U26" s="61" t="n">
        <f aca="false">T26+U24-U25</f>
        <v>60950.6638332364</v>
      </c>
      <c r="V26" s="61" t="n">
        <f aca="false">U26+V24-V25</f>
        <v>59911.3971402832</v>
      </c>
      <c r="W26" s="61" t="n">
        <f aca="false">V26+W24-W25</f>
        <v>53386.9012325619</v>
      </c>
      <c r="X26" s="61" t="n">
        <f aca="false">W26+X24-X25</f>
        <v>45449.0361087844</v>
      </c>
      <c r="Y26" s="61" t="n">
        <f aca="false">X26+Y24-Y25</f>
        <v>55031.3581049341</v>
      </c>
      <c r="Z26" s="61" t="n">
        <f aca="false">Y26+Z24-Z25</f>
        <v>63629.8124289506</v>
      </c>
      <c r="AA26" s="61" t="n">
        <f aca="false">Z26+AA24-AA25</f>
        <v>55696.9685910601</v>
      </c>
      <c r="AB26" s="61" t="n">
        <f aca="false">AA26+AB24-AB25</f>
        <v>55031.2913409225</v>
      </c>
    </row>
    <row r="27" customFormat="false" ht="15" hidden="false" customHeight="false" outlineLevel="0" collapsed="false">
      <c r="A27" s="59" t="s">
        <v>1460</v>
      </c>
      <c r="B27" s="60"/>
      <c r="C27" s="61" t="n">
        <f aca="false">P27</f>
        <v>458713.461811017</v>
      </c>
      <c r="D27" s="61" t="n">
        <f aca="false">AB27</f>
        <v>472014.723710905</v>
      </c>
      <c r="E27" s="61" t="n">
        <f aca="false">E11+E15+E21+E26</f>
        <v>577900.387071766</v>
      </c>
      <c r="F27" s="61" t="n">
        <f aca="false">F11+F15+F21+F26</f>
        <v>417638.235106022</v>
      </c>
      <c r="G27" s="61" t="n">
        <f aca="false">G11+G15+G21+G26</f>
        <v>510469.679983603</v>
      </c>
      <c r="H27" s="61" t="n">
        <f aca="false">H11+H15+H21+H26</f>
        <v>427541.297567042</v>
      </c>
      <c r="I27" s="61" t="n">
        <f aca="false">I11+I15+I21+I26</f>
        <v>440769.978724234</v>
      </c>
      <c r="J27" s="61" t="n">
        <f aca="false">J11+J15+J21+J26</f>
        <v>505192.495925136</v>
      </c>
      <c r="K27" s="61" t="n">
        <f aca="false">K11+K15+K21+K26</f>
        <v>412290.952876718</v>
      </c>
      <c r="L27" s="61" t="n">
        <f aca="false">L11+L15+L21+L26</f>
        <v>283532.012033033</v>
      </c>
      <c r="M27" s="61" t="n">
        <f aca="false">M11+M15+M21+M26</f>
        <v>550186.041867687</v>
      </c>
      <c r="N27" s="61" t="n">
        <f aca="false">N11+N15+N21+N26</f>
        <v>545931.428384999</v>
      </c>
      <c r="O27" s="61" t="n">
        <f aca="false">O11+O15+O21+O26</f>
        <v>474365.160765726</v>
      </c>
      <c r="P27" s="61" t="n">
        <f aca="false">P11+P15+P21+P26</f>
        <v>458713.461811017</v>
      </c>
      <c r="Q27" s="61" t="n">
        <f aca="false">Q11+Q15+Q21+Q26</f>
        <v>643040.627229609</v>
      </c>
      <c r="R27" s="61" t="n">
        <f aca="false">R11+R15+R21+R26</f>
        <v>443319.554234395</v>
      </c>
      <c r="S27" s="61" t="n">
        <f aca="false">S11+S15+S21+S26</f>
        <v>493628.246445999</v>
      </c>
      <c r="T27" s="61" t="n">
        <f aca="false">T11+T15+T21+T26</f>
        <v>439082.798584399</v>
      </c>
      <c r="U27" s="61" t="n">
        <f aca="false">U11+U15+U21+U26</f>
        <v>457953.86084637</v>
      </c>
      <c r="V27" s="61" t="n">
        <f aca="false">V11+V15+V21+V26</f>
        <v>509131.74466307</v>
      </c>
      <c r="W27" s="61" t="n">
        <f aca="false">W11+W15+W21+W26</f>
        <v>406603.436597103</v>
      </c>
      <c r="X27" s="61" t="n">
        <f aca="false">X11+X15+X21+X26</f>
        <v>296061.106329589</v>
      </c>
      <c r="Y27" s="61" t="n">
        <f aca="false">Y11+Y15+Y21+Y26</f>
        <v>572651.58125092</v>
      </c>
      <c r="Z27" s="61" t="n">
        <f aca="false">Z11+Z15+Z21+Z26</f>
        <v>544702.7583192</v>
      </c>
      <c r="AA27" s="61" t="n">
        <f aca="false">AA11+AA15+AA21+AA26</f>
        <v>468268.121777932</v>
      </c>
      <c r="AB27" s="61" t="n">
        <f aca="false">AB11+AB15+AB21+AB26</f>
        <v>472014.723710905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1461</v>
      </c>
    </row>
    <row r="3" customFormat="false" ht="15" hidden="false" customHeight="false" outlineLevel="0" collapsed="false">
      <c r="A3" s="50" t="s">
        <v>1462</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7" t="s">
        <v>1463</v>
      </c>
      <c r="B8" s="63" t="s">
        <v>63</v>
      </c>
      <c r="C8" s="66" t="n">
        <f aca="false">SUM(E8:P8)</f>
        <v>1613099.14769899</v>
      </c>
      <c r="D8" s="66" t="n">
        <f aca="false">SUM(Q8:AB8)</f>
        <v>1759142.25091342</v>
      </c>
      <c r="E8" s="67" t="n">
        <f aca="false">Receivables!E18</f>
        <v>160670.78310246</v>
      </c>
      <c r="F8" s="67" t="n">
        <f aca="false">Receivables!F18</f>
        <v>119238.397417264</v>
      </c>
      <c r="G8" s="67" t="n">
        <f aca="false">Receivables!G18</f>
        <v>130974.913877898</v>
      </c>
      <c r="H8" s="67" t="n">
        <f aca="false">Receivables!H18</f>
        <v>138341.370072948</v>
      </c>
      <c r="I8" s="67" t="n">
        <f aca="false">Receivables!I18</f>
        <v>125854.603888402</v>
      </c>
      <c r="J8" s="67" t="n">
        <f aca="false">Receivables!J18</f>
        <v>128906.150378598</v>
      </c>
      <c r="K8" s="67" t="n">
        <f aca="false">Receivables!K18</f>
        <v>124230.67455478</v>
      </c>
      <c r="L8" s="67" t="n">
        <f aca="false">Receivables!L18</f>
        <v>100403.688645006</v>
      </c>
      <c r="M8" s="67" t="n">
        <f aca="false">Receivables!M18</f>
        <v>139849.472704055</v>
      </c>
      <c r="N8" s="67" t="n">
        <f aca="false">Receivables!N18</f>
        <v>143095.425006648</v>
      </c>
      <c r="O8" s="67" t="n">
        <f aca="false">Receivables!O18</f>
        <v>161154.995303276</v>
      </c>
      <c r="P8" s="67" t="n">
        <f aca="false">Receivables!P18</f>
        <v>140378.672747657</v>
      </c>
      <c r="Q8" s="67" t="n">
        <f aca="false">Receivables!Q18</f>
        <v>184111.622405046</v>
      </c>
      <c r="R8" s="67" t="n">
        <f aca="false">Receivables!R18</f>
        <v>137254.596811598</v>
      </c>
      <c r="S8" s="67" t="n">
        <f aca="false">Receivables!S18</f>
        <v>146515.646116041</v>
      </c>
      <c r="T8" s="67" t="n">
        <f aca="false">Receivables!T18</f>
        <v>139524.926471274</v>
      </c>
      <c r="U8" s="67" t="n">
        <f aca="false">Receivables!U18</f>
        <v>140141.850974465</v>
      </c>
      <c r="V8" s="67" t="n">
        <f aca="false">Receivables!V18</f>
        <v>149980.546626943</v>
      </c>
      <c r="W8" s="67" t="n">
        <f aca="false">Receivables!W18</f>
        <v>136470.334020346</v>
      </c>
      <c r="X8" s="67" t="n">
        <f aca="false">Receivables!X18</f>
        <v>112694.444792672</v>
      </c>
      <c r="Y8" s="67" t="n">
        <f aca="false">Receivables!Y18</f>
        <v>153470.220698858</v>
      </c>
      <c r="Z8" s="67" t="n">
        <f aca="false">Receivables!Z18</f>
        <v>159413.72236291</v>
      </c>
      <c r="AA8" s="67" t="n">
        <f aca="false">Receivables!AA18</f>
        <v>150028.881071298</v>
      </c>
      <c r="AB8" s="67" t="n">
        <f aca="false">Receivables!AB18</f>
        <v>149535.458561966</v>
      </c>
    </row>
    <row r="9" customFormat="false" ht="15" hidden="false" customHeight="false" outlineLevel="0" collapsed="false">
      <c r="A9" s="27" t="s">
        <v>1464</v>
      </c>
      <c r="B9" s="63"/>
      <c r="C9" s="66" t="n">
        <f aca="false">SUM(E9:P9)</f>
        <v>-500252.361432258</v>
      </c>
      <c r="D9" s="66" t="n">
        <f aca="false">SUM(Q9:AB9)</f>
        <v>-498511.936</v>
      </c>
      <c r="E9" s="67" t="n">
        <f aca="false">-Hardware!E17*Assumptions!$C$18</f>
        <v>-31978.878</v>
      </c>
      <c r="F9" s="67" t="n">
        <f aca="false">-Hardware!F17*Assumptions!$C$18</f>
        <v>-40008.7346</v>
      </c>
      <c r="G9" s="67" t="n">
        <f aca="false">-Hardware!G17*Assumptions!$C$18</f>
        <v>-48509.5392</v>
      </c>
      <c r="H9" s="67" t="n">
        <f aca="false">-Hardware!H17*Assumptions!$C$18</f>
        <v>-39153.3692</v>
      </c>
      <c r="I9" s="67" t="n">
        <f aca="false">-Hardware!I17*Assumptions!$C$18</f>
        <v>-40817.5687</v>
      </c>
      <c r="J9" s="67" t="n">
        <f aca="false">-Hardware!J17*Assumptions!$C$18</f>
        <v>-51020.5734</v>
      </c>
      <c r="K9" s="67" t="n">
        <f aca="false">-Hardware!K17*Assumptions!$C$18</f>
        <v>-35672.8528</v>
      </c>
      <c r="L9" s="67" t="n">
        <f aca="false">-Hardware!L17*Assumptions!$C$18</f>
        <v>-18617.4604</v>
      </c>
      <c r="M9" s="67" t="n">
        <f aca="false">-Hardware!M17*Assumptions!$C$18</f>
        <v>-60066.4750866667</v>
      </c>
      <c r="N9" s="67" t="n">
        <f aca="false">-Hardware!N17*Assumptions!$C$18</f>
        <v>-54540.0362391398</v>
      </c>
      <c r="O9" s="67" t="n">
        <f aca="false">-Hardware!O17*Assumptions!$C$18</f>
        <v>-41352.2457875269</v>
      </c>
      <c r="P9" s="67" t="n">
        <f aca="false">-Hardware!P17*Assumptions!$C$18</f>
        <v>-38514.6280189247</v>
      </c>
      <c r="Q9" s="67" t="n">
        <f aca="false">-Hardware!Q17*Assumptions!$C$18</f>
        <v>-34826.5323354839</v>
      </c>
      <c r="R9" s="67" t="n">
        <f aca="false">-Hardware!R17*Assumptions!$C$18</f>
        <v>-40989.8058322581</v>
      </c>
      <c r="S9" s="67" t="n">
        <f aca="false">-Hardware!S17*Assumptions!$C$18</f>
        <v>-44394.4088774194</v>
      </c>
      <c r="T9" s="67" t="n">
        <f aca="false">-Hardware!T17*Assumptions!$C$18</f>
        <v>-38343.276455914</v>
      </c>
      <c r="U9" s="67" t="n">
        <f aca="false">-Hardware!U17*Assumptions!$C$18</f>
        <v>-42061.874511828</v>
      </c>
      <c r="V9" s="67" t="n">
        <f aca="false">-Hardware!V17*Assumptions!$C$18</f>
        <v>-49686.5705015054</v>
      </c>
      <c r="W9" s="67" t="n">
        <f aca="false">-Hardware!W17*Assumptions!$C$18</f>
        <v>-33907.8726468817</v>
      </c>
      <c r="X9" s="67" t="n">
        <f aca="false">-Hardware!X17*Assumptions!$C$18</f>
        <v>-19001.1837935484</v>
      </c>
      <c r="Y9" s="67" t="n">
        <f aca="false">-Hardware!Y17*Assumptions!$C$18</f>
        <v>-60893.5009995699</v>
      </c>
      <c r="Z9" s="67" t="n">
        <f aca="false">-Hardware!Z17*Assumptions!$C$18</f>
        <v>-54540.0362391398</v>
      </c>
      <c r="AA9" s="67" t="n">
        <f aca="false">-Hardware!AA17*Assumptions!$C$18</f>
        <v>-41352.2457875269</v>
      </c>
      <c r="AB9" s="67" t="n">
        <f aca="false">-Hardware!AB17*Assumptions!$C$18</f>
        <v>-38514.6280189247</v>
      </c>
    </row>
    <row r="10" customFormat="false" ht="15" hidden="false" customHeight="false" outlineLevel="0" collapsed="false">
      <c r="A10" s="27" t="s">
        <v>1465</v>
      </c>
      <c r="B10" s="63"/>
      <c r="C10" s="66" t="n">
        <f aca="false">SUM(E10:P10)</f>
        <v>-376030.613991785</v>
      </c>
      <c r="D10" s="66" t="n">
        <f aca="false">SUM(Q10:AB10)</f>
        <v>-396013.244549701</v>
      </c>
      <c r="E10" s="67" t="n">
        <f aca="false">-Licences!E28*Assumptions!$C$18</f>
        <v>-65311.8557</v>
      </c>
      <c r="F10" s="67" t="n">
        <f aca="false">-Licences!F28*Assumptions!$C$18</f>
        <v>-26097.8884</v>
      </c>
      <c r="G10" s="67" t="n">
        <f aca="false">-Licences!G28*Assumptions!$C$18</f>
        <v>-29917.8917</v>
      </c>
      <c r="H10" s="67" t="n">
        <f aca="false">-Licences!H28*Assumptions!$C$18</f>
        <v>-27357.3684</v>
      </c>
      <c r="I10" s="67" t="n">
        <f aca="false">-Licences!I28*Assumptions!$C$18</f>
        <v>-26405.5134</v>
      </c>
      <c r="J10" s="67" t="n">
        <f aca="false">-Licences!J28*Assumptions!$C$18</f>
        <v>-28361.622</v>
      </c>
      <c r="K10" s="67" t="n">
        <f aca="false">-Licences!K28*Assumptions!$C$18</f>
        <v>-26511.3939</v>
      </c>
      <c r="L10" s="67" t="n">
        <f aca="false">-Licences!L28*Assumptions!$C$18</f>
        <v>-22212.1235</v>
      </c>
      <c r="M10" s="67" t="n">
        <f aca="false">-Licences!M28*Assumptions!$C$18</f>
        <v>-29828.75839585</v>
      </c>
      <c r="N10" s="67" t="n">
        <f aca="false">-Licences!N28*Assumptions!$C$18</f>
        <v>-29314.6489011334</v>
      </c>
      <c r="O10" s="67" t="n">
        <f aca="false">-Licences!O28*Assumptions!$C$18</f>
        <v>-30595.8598848502</v>
      </c>
      <c r="P10" s="67" t="n">
        <f aca="false">-Licences!P28*Assumptions!$C$18</f>
        <v>-34115.689809951</v>
      </c>
      <c r="Q10" s="67" t="n">
        <f aca="false">-Licences!Q28*Assumptions!$C$18</f>
        <v>-68664.2627475806</v>
      </c>
      <c r="R10" s="67" t="n">
        <f aca="false">-Licences!R28*Assumptions!$C$18</f>
        <v>-27709.0393249532</v>
      </c>
      <c r="S10" s="67" t="n">
        <f aca="false">-Licences!S28*Assumptions!$C$18</f>
        <v>-31027.5117461465</v>
      </c>
      <c r="T10" s="67" t="n">
        <f aca="false">-Licences!T28*Assumptions!$C$18</f>
        <v>-28641.2459645255</v>
      </c>
      <c r="U10" s="67" t="n">
        <f aca="false">-Licences!U28*Assumptions!$C$18</f>
        <v>-28044.917061505</v>
      </c>
      <c r="V10" s="67" t="n">
        <f aca="false">-Licences!V28*Assumptions!$C$18</f>
        <v>-30177.3593084587</v>
      </c>
      <c r="W10" s="67" t="n">
        <f aca="false">-Licences!W28*Assumptions!$C$18</f>
        <v>-28000.2922940734</v>
      </c>
      <c r="X10" s="67" t="n">
        <f aca="false">-Licences!X28*Assumptions!$C$18</f>
        <v>-23735.889040354</v>
      </c>
      <c r="Y10" s="67" t="n">
        <f aca="false">-Licences!Y28*Assumptions!$C$18</f>
        <v>-31764.8816191733</v>
      </c>
      <c r="Z10" s="67" t="n">
        <f aca="false">-Licences!Z28*Assumptions!$C$18</f>
        <v>-31279.4917555058</v>
      </c>
      <c r="AA10" s="67" t="n">
        <f aca="false">-Licences!AA28*Assumptions!$C$18</f>
        <v>-31656.3778146648</v>
      </c>
      <c r="AB10" s="67" t="n">
        <f aca="false">-Licences!AB28*Assumptions!$C$18</f>
        <v>-35311.9758727608</v>
      </c>
    </row>
    <row r="11" customFormat="false" ht="15" hidden="false" customHeight="false" outlineLevel="0" collapsed="false">
      <c r="A11" s="27" t="s">
        <v>1466</v>
      </c>
      <c r="B11" s="63"/>
      <c r="C11" s="66" t="n">
        <f aca="false">SUM(E11:P11)</f>
        <v>-137001.896066076</v>
      </c>
      <c r="D11" s="66" t="n">
        <f aca="false">SUM(Q11:AB11)</f>
        <v>-141369.782607255</v>
      </c>
      <c r="E11" s="67" t="n">
        <f aca="false">-(Payables!E23+Overheads!E16)*Assumptions!$C$18</f>
        <v>-8068.9267</v>
      </c>
      <c r="F11" s="67" t="n">
        <f aca="false">-(Payables!F23+Overheads!F16)*Assumptions!$C$18</f>
        <v>-9315.1403</v>
      </c>
      <c r="G11" s="67" t="n">
        <f aca="false">-(Payables!G23+Overheads!G16)*Assumptions!$C$18</f>
        <v>-14154.7842</v>
      </c>
      <c r="H11" s="67" t="n">
        <f aca="false">-(Payables!H23+Overheads!H16)*Assumptions!$C$18</f>
        <v>-10494.6792</v>
      </c>
      <c r="I11" s="67" t="n">
        <f aca="false">-(Payables!I23+Overheads!I16)*Assumptions!$C$18</f>
        <v>-12370.5707</v>
      </c>
      <c r="J11" s="67" t="n">
        <f aca="false">-(Payables!J23+Overheads!J16)*Assumptions!$C$18</f>
        <v>-12287.0232</v>
      </c>
      <c r="K11" s="67" t="n">
        <f aca="false">-(Payables!K23+Overheads!K16)*Assumptions!$C$18</f>
        <v>-12018.7351</v>
      </c>
      <c r="L11" s="67" t="n">
        <f aca="false">-(Payables!L23+Overheads!L16)*Assumptions!$C$18</f>
        <v>-9336.0542</v>
      </c>
      <c r="M11" s="67" t="n">
        <f aca="false">-(Payables!M23+Overheads!M16)*Assumptions!$C$18</f>
        <v>-10036.7585686667</v>
      </c>
      <c r="N11" s="67" t="n">
        <f aca="false">-(Payables!N23+Overheads!N16)*Assumptions!$C$18</f>
        <v>-15294.9055308439</v>
      </c>
      <c r="O11" s="67" t="n">
        <f aca="false">-(Payables!O23+Overheads!O16)*Assumptions!$C$18</f>
        <v>-13615.3342799703</v>
      </c>
      <c r="P11" s="67" t="n">
        <f aca="false">-(Payables!P23+Overheads!P16)*Assumptions!$C$18</f>
        <v>-10008.9840865955</v>
      </c>
      <c r="Q11" s="67" t="n">
        <f aca="false">-(Payables!Q23+Overheads!Q16)*Assumptions!$C$18</f>
        <v>-13590.8280664376</v>
      </c>
      <c r="R11" s="67" t="n">
        <f aca="false">-(Payables!R23+Overheads!R16)*Assumptions!$C$18</f>
        <v>-10982.5174571311</v>
      </c>
      <c r="S11" s="67" t="n">
        <f aca="false">-(Payables!S23+Overheads!S16)*Assumptions!$C$18</f>
        <v>-13691.3980311144</v>
      </c>
      <c r="T11" s="67" t="n">
        <f aca="false">-(Payables!T23+Overheads!T16)*Assumptions!$C$18</f>
        <v>-11898.140987882</v>
      </c>
      <c r="U11" s="67" t="n">
        <f aca="false">-(Payables!U23+Overheads!U16)*Assumptions!$C$18</f>
        <v>-12301.1786029629</v>
      </c>
      <c r="V11" s="67" t="n">
        <f aca="false">-(Payables!V23+Overheads!V16)*Assumptions!$C$18</f>
        <v>-12106.8441807034</v>
      </c>
      <c r="W11" s="67" t="n">
        <f aca="false">-(Payables!W23+Overheads!W16)*Assumptions!$C$18</f>
        <v>-10886.8164906417</v>
      </c>
      <c r="X11" s="67" t="n">
        <f aca="false">-(Payables!X23+Overheads!X16)*Assumptions!$C$18</f>
        <v>-9402.50024798408</v>
      </c>
      <c r="Y11" s="67" t="n">
        <f aca="false">-(Payables!Y23+Overheads!Y16)*Assumptions!$C$18</f>
        <v>-11194.3165562072</v>
      </c>
      <c r="Z11" s="67" t="n">
        <f aca="false">-(Payables!Z23+Overheads!Z16)*Assumptions!$C$18</f>
        <v>-12802.1576086656</v>
      </c>
      <c r="AA11" s="67" t="n">
        <f aca="false">-(Payables!AA23+Overheads!AA16)*Assumptions!$C$18</f>
        <v>-11318.7803056454</v>
      </c>
      <c r="AB11" s="67" t="n">
        <f aca="false">-(Payables!AB23+Overheads!AB16)*Assumptions!$C$18</f>
        <v>-11194.3040718798</v>
      </c>
    </row>
    <row r="12" customFormat="false" ht="15" hidden="false" customHeight="false" outlineLevel="0" collapsed="false">
      <c r="A12" s="59" t="s">
        <v>1467</v>
      </c>
      <c r="B12" s="60"/>
      <c r="C12" s="61" t="n">
        <f aca="false">SUM(E12:P12)</f>
        <v>599814.276208873</v>
      </c>
      <c r="D12" s="61" t="n">
        <f aca="false">SUM(Q12:AB12)</f>
        <v>723247.287756461</v>
      </c>
      <c r="E12" s="61" t="n">
        <f aca="false">E8+E9+E10+E11</f>
        <v>55311.1227024597</v>
      </c>
      <c r="F12" s="61" t="n">
        <f aca="false">F8+F9+F10+F11</f>
        <v>43816.6341172641</v>
      </c>
      <c r="G12" s="61" t="n">
        <f aca="false">G8+G9+G10+G11</f>
        <v>38392.698777898</v>
      </c>
      <c r="H12" s="61" t="n">
        <f aca="false">H8+H9+H10+H11</f>
        <v>61335.9532729475</v>
      </c>
      <c r="I12" s="61" t="n">
        <f aca="false">I8+I9+I10+I11</f>
        <v>46260.9510884022</v>
      </c>
      <c r="J12" s="61" t="n">
        <f aca="false">J8+J9+J10+J11</f>
        <v>37236.9317785984</v>
      </c>
      <c r="K12" s="61" t="n">
        <f aca="false">K8+K9+K10+K11</f>
        <v>50027.6927547797</v>
      </c>
      <c r="L12" s="61" t="n">
        <f aca="false">L8+L9+L10+L11</f>
        <v>50238.050545006</v>
      </c>
      <c r="M12" s="61" t="n">
        <f aca="false">M8+M9+M10+M11</f>
        <v>39917.4806528718</v>
      </c>
      <c r="N12" s="61" t="n">
        <f aca="false">N8+N9+N10+N11</f>
        <v>43945.8343355311</v>
      </c>
      <c r="O12" s="61" t="n">
        <f aca="false">O8+O9+O10+O11</f>
        <v>75591.5553509285</v>
      </c>
      <c r="P12" s="61" t="n">
        <f aca="false">P8+P9+P10+P11</f>
        <v>57739.370832186</v>
      </c>
      <c r="Q12" s="61" t="n">
        <f aca="false">Q8+Q9+Q10+Q11</f>
        <v>67029.9992555439</v>
      </c>
      <c r="R12" s="61" t="n">
        <f aca="false">R8+R9+R10+R11</f>
        <v>57573.2341972559</v>
      </c>
      <c r="S12" s="61" t="n">
        <f aca="false">S8+S9+S10+S11</f>
        <v>57402.3274613611</v>
      </c>
      <c r="T12" s="61" t="n">
        <f aca="false">T8+T9+T10+T11</f>
        <v>60642.2630629522</v>
      </c>
      <c r="U12" s="61" t="n">
        <f aca="false">U8+U9+U10+U11</f>
        <v>57733.8807981696</v>
      </c>
      <c r="V12" s="61" t="n">
        <f aca="false">V8+V9+V10+V11</f>
        <v>58009.7726362759</v>
      </c>
      <c r="W12" s="61" t="n">
        <f aca="false">W8+W9+W10+W11</f>
        <v>63675.3525887491</v>
      </c>
      <c r="X12" s="61" t="n">
        <f aca="false">X8+X9+X10+X11</f>
        <v>60554.8717107852</v>
      </c>
      <c r="Y12" s="61" t="n">
        <f aca="false">Y8+Y9+Y10+Y11</f>
        <v>49617.5215239076</v>
      </c>
      <c r="Z12" s="61" t="n">
        <f aca="false">Z8+Z9+Z10+Z11</f>
        <v>60792.0367595989</v>
      </c>
      <c r="AA12" s="61" t="n">
        <f aca="false">AA8+AA9+AA10+AA11</f>
        <v>65701.4771634611</v>
      </c>
      <c r="AB12" s="61" t="n">
        <f aca="false">AB8+AB9+AB10+AB11</f>
        <v>64514.5505984003</v>
      </c>
    </row>
    <row r="13" customFormat="false" ht="15" hidden="false" customHeight="false" outlineLevel="0" collapsed="false">
      <c r="A13" s="27" t="s">
        <v>1468</v>
      </c>
      <c r="B13" s="63" t="s">
        <v>1469</v>
      </c>
      <c r="C13" s="66" t="n">
        <f aca="false">SUM(E13:P13)</f>
        <v>601996.370066787</v>
      </c>
      <c r="D13" s="66" t="n">
        <f aca="false">SUM(Q13:AB13)</f>
        <v>726362.186177714</v>
      </c>
      <c r="E13" s="67" t="n">
        <f aca="false">IF(E$5="A",Inputs_Actuals!E269,0)</f>
        <v>72032.56</v>
      </c>
      <c r="F13" s="67" t="n">
        <f aca="false">IF(F$5="A",Inputs_Actuals!F269,0)</f>
        <v>63480.47</v>
      </c>
      <c r="G13" s="67" t="n">
        <f aca="false">IF(G$5="A",Inputs_Actuals!G269,0)</f>
        <v>55311.12</v>
      </c>
      <c r="H13" s="67" t="n">
        <f aca="false">IF(H$5="A",Inputs_Actuals!H269,IF(Assumptions!H$204=8,0,IF(Assumptions!H$204=9,E12+F12,F12)))</f>
        <v>43816.63</v>
      </c>
      <c r="I13" s="67" t="n">
        <f aca="false">IF(I$5="A",Inputs_Actuals!I269,IF(Assumptions!I$204=8,0,IF(Assumptions!I$204=9,F12+G12,G12)))</f>
        <v>38392.7</v>
      </c>
      <c r="J13" s="67" t="n">
        <f aca="false">IF(J$5="A",Inputs_Actuals!J269,IF(Assumptions!J$204=8,0,IF(Assumptions!J$204=9,G12+H12,H12)))</f>
        <v>61335.95</v>
      </c>
      <c r="K13" s="67" t="n">
        <f aca="false">IF(K$5="A",Inputs_Actuals!K269,IF(Assumptions!K$204=8,0,IF(Assumptions!K$204=9,H12+I12,I12)))</f>
        <v>46260.95</v>
      </c>
      <c r="L13" s="67" t="n">
        <f aca="false">IF(L$5="A",Inputs_Actuals!L269,IF(Assumptions!L$204=8,0,IF(Assumptions!L$204=9,I12+J12,J12)))</f>
        <v>0</v>
      </c>
      <c r="M13" s="67" t="n">
        <f aca="false">IF(M$5="A",Inputs_Actuals!M269,IF(Assumptions!M$204=8,0,IF(Assumptions!M$204=9,J12+K12,K12)))</f>
        <v>87264.6245333781</v>
      </c>
      <c r="N13" s="67" t="n">
        <f aca="false">IF(N$5="A",Inputs_Actuals!N269,IF(Assumptions!N$204=8,0,IF(Assumptions!N$204=9,K12+L12,L12)))</f>
        <v>50238.050545006</v>
      </c>
      <c r="O13" s="67" t="n">
        <f aca="false">IF(O$5="A",Inputs_Actuals!O269,IF(Assumptions!O$204=8,0,IF(Assumptions!O$204=9,L12+M12,M12)))</f>
        <v>39917.4806528718</v>
      </c>
      <c r="P13" s="67" t="n">
        <f aca="false">IF(P$5="A",Inputs_Actuals!P269,IF(Assumptions!P$204=8,0,IF(Assumptions!P$204=9,M12+N12,N12)))</f>
        <v>43945.8343355311</v>
      </c>
      <c r="Q13" s="67" t="n">
        <f aca="false">IF(Q$5="A",Inputs_Actuals!Q269,IF(Assumptions!Q$204=8,0,IF(Assumptions!Q$204=9,N12+O12,O12)))</f>
        <v>75591.5553509285</v>
      </c>
      <c r="R13" s="67" t="n">
        <f aca="false">IF(R$5="A",Inputs_Actuals!R269,IF(Assumptions!R$204=8,0,IF(Assumptions!R$204=9,O12+P12,P12)))</f>
        <v>57739.370832186</v>
      </c>
      <c r="S13" s="67" t="n">
        <f aca="false">IF(S$5="A",Inputs_Actuals!S269,IF(Assumptions!S$204=8,0,IF(Assumptions!S$204=9,P12+Q12,Q12)))</f>
        <v>67029.9992555439</v>
      </c>
      <c r="T13" s="67" t="n">
        <f aca="false">IF(T$5="A",Inputs_Actuals!T269,IF(Assumptions!T$204=8,0,IF(Assumptions!T$204=9,Q12+R12,R12)))</f>
        <v>57573.2341972559</v>
      </c>
      <c r="U13" s="67" t="n">
        <f aca="false">IF(U$5="A",Inputs_Actuals!U269,IF(Assumptions!U$204=8,0,IF(Assumptions!U$204=9,R12+S12,S12)))</f>
        <v>57402.3274613611</v>
      </c>
      <c r="V13" s="67" t="n">
        <f aca="false">IF(V$5="A",Inputs_Actuals!V269,IF(Assumptions!V$204=8,0,IF(Assumptions!V$204=9,S12+T12,T12)))</f>
        <v>60642.2630629522</v>
      </c>
      <c r="W13" s="67" t="n">
        <f aca="false">IF(W$5="A",Inputs_Actuals!W269,IF(Assumptions!W$204=8,0,IF(Assumptions!W$204=9,T12+U12,U12)))</f>
        <v>57733.8807981696</v>
      </c>
      <c r="X13" s="67" t="n">
        <f aca="false">IF(X$5="A",Inputs_Actuals!X269,IF(Assumptions!X$204=8,0,IF(Assumptions!X$204=9,U12+V12,V12)))</f>
        <v>0</v>
      </c>
      <c r="Y13" s="67" t="n">
        <f aca="false">IF(Y$5="A",Inputs_Actuals!Y269,IF(Assumptions!Y$204=8,0,IF(Assumptions!Y$204=9,V12+W12,W12)))</f>
        <v>121685.125225025</v>
      </c>
      <c r="Z13" s="67" t="n">
        <f aca="false">IF(Z$5="A",Inputs_Actuals!Z269,IF(Assumptions!Z$204=8,0,IF(Assumptions!Z$204=9,W12+X12,X12)))</f>
        <v>60554.8717107852</v>
      </c>
      <c r="AA13" s="67" t="n">
        <f aca="false">IF(AA$5="A",Inputs_Actuals!AA269,IF(Assumptions!AA$204=8,0,IF(Assumptions!AA$204=9,X12+Y12,Y12)))</f>
        <v>49617.5215239076</v>
      </c>
      <c r="AB13" s="67" t="n">
        <f aca="false">IF(AB$5="A",Inputs_Actuals!AB269,IF(Assumptions!AB$204=8,0,IF(Assumptions!AB$204=9,Y12+Z12,Z12)))</f>
        <v>60792.0367595989</v>
      </c>
    </row>
    <row r="14" customFormat="false" ht="15" hidden="false" customHeight="false" outlineLevel="0" collapsed="false">
      <c r="A14" s="59" t="s">
        <v>1470</v>
      </c>
      <c r="B14" s="60" t="s">
        <v>1471</v>
      </c>
      <c r="C14" s="61" t="n">
        <f aca="false">P14</f>
        <v>133330.936142086</v>
      </c>
      <c r="D14" s="61" t="n">
        <f aca="false">AB14</f>
        <v>130216.037720833</v>
      </c>
      <c r="E14" s="62" t="n">
        <f aca="false">Inputs_Actuals!$C$301+E12-E13</f>
        <v>118791.59270246</v>
      </c>
      <c r="F14" s="61" t="n">
        <f aca="false">E14+F12-F13</f>
        <v>99127.7568197238</v>
      </c>
      <c r="G14" s="61" t="n">
        <f aca="false">F14+G12-G13</f>
        <v>82209.3355976218</v>
      </c>
      <c r="H14" s="61" t="n">
        <f aca="false">G14+H12-H13</f>
        <v>99728.6588705693</v>
      </c>
      <c r="I14" s="61" t="n">
        <f aca="false">H14+I12-I13</f>
        <v>107596.909958971</v>
      </c>
      <c r="J14" s="61" t="n">
        <f aca="false">I14+J12-J13</f>
        <v>83497.8917375698</v>
      </c>
      <c r="K14" s="61" t="n">
        <f aca="false">J14+K12-K13</f>
        <v>87264.6344923496</v>
      </c>
      <c r="L14" s="61" t="n">
        <f aca="false">K14+L12-L13</f>
        <v>137502.685037356</v>
      </c>
      <c r="M14" s="61" t="n">
        <f aca="false">L14+M12-M13</f>
        <v>90155.5411568492</v>
      </c>
      <c r="N14" s="61" t="n">
        <f aca="false">M14+N12-N13</f>
        <v>83863.3249473742</v>
      </c>
      <c r="O14" s="61" t="n">
        <f aca="false">N14+O12-O13</f>
        <v>119537.399645431</v>
      </c>
      <c r="P14" s="61" t="n">
        <f aca="false">O14+P12-P13</f>
        <v>133330.936142086</v>
      </c>
      <c r="Q14" s="61" t="n">
        <f aca="false">P14+Q12-Q13</f>
        <v>124769.380046701</v>
      </c>
      <c r="R14" s="61" t="n">
        <f aca="false">Q14+R12-R13</f>
        <v>124603.243411771</v>
      </c>
      <c r="S14" s="61" t="n">
        <f aca="false">R14+S12-S13</f>
        <v>114975.571617588</v>
      </c>
      <c r="T14" s="61" t="n">
        <f aca="false">S14+T12-T13</f>
        <v>118044.600483285</v>
      </c>
      <c r="U14" s="61" t="n">
        <f aca="false">T14+U12-U13</f>
        <v>118376.153820093</v>
      </c>
      <c r="V14" s="61" t="n">
        <f aca="false">U14+V12-V13</f>
        <v>115743.663393417</v>
      </c>
      <c r="W14" s="61" t="n">
        <f aca="false">V14+W12-W13</f>
        <v>121685.135183996</v>
      </c>
      <c r="X14" s="61" t="n">
        <f aca="false">W14+X12-X13</f>
        <v>182240.006894782</v>
      </c>
      <c r="Y14" s="61" t="n">
        <f aca="false">X14+Y12-Y13</f>
        <v>110172.403193664</v>
      </c>
      <c r="Z14" s="61" t="n">
        <f aca="false">Y14+Z12-Z13</f>
        <v>110409.568242478</v>
      </c>
      <c r="AA14" s="61" t="n">
        <f aca="false">Z14+AA12-AA13</f>
        <v>126493.523882031</v>
      </c>
      <c r="AB14" s="61" t="n">
        <f aca="false">AA14+AB12-AB13</f>
        <v>130216.037720833</v>
      </c>
    </row>
    <row r="15" customFormat="false" ht="15" hidden="false" customHeight="false" outlineLevel="0" collapsed="false">
      <c r="A15" s="27" t="s">
        <v>1472</v>
      </c>
      <c r="B15" s="63" t="s">
        <v>1473</v>
      </c>
      <c r="C15" s="66" t="n">
        <f aca="false">SUM(E15:P15)</f>
        <v>0</v>
      </c>
      <c r="D15" s="66" t="n">
        <f aca="false">SUM(Q15:AB15)</f>
        <v>0</v>
      </c>
      <c r="E15" s="76" t="n">
        <f aca="false">0</f>
        <v>0</v>
      </c>
      <c r="F15" s="76" t="n">
        <f aca="false">0</f>
        <v>0</v>
      </c>
      <c r="G15" s="67" t="n">
        <f aca="false">ROUND(G14-(G12+F12+IF(Assumptions!G$204=8,E12,0)),0)</f>
        <v>0</v>
      </c>
      <c r="H15" s="67" t="n">
        <f aca="false">ROUND(H14-(H12+G12+IF(Assumptions!H$204=8,F12,0)),0)</f>
        <v>0</v>
      </c>
      <c r="I15" s="67" t="n">
        <f aca="false">ROUND(I14-(I12+H12+IF(Assumptions!I$204=8,G12,0)),0)</f>
        <v>0</v>
      </c>
      <c r="J15" s="67" t="n">
        <f aca="false">ROUND(J14-(J12+I12+IF(Assumptions!J$204=8,H12,0)),0)</f>
        <v>0</v>
      </c>
      <c r="K15" s="67" t="n">
        <f aca="false">ROUND(K14-(K12+J12+IF(Assumptions!K$204=8,I12,0)),0)</f>
        <v>0</v>
      </c>
      <c r="L15" s="67" t="n">
        <f aca="false">ROUND(L14-(L12+K12+IF(Assumptions!L$204=8,J12,0)),0)</f>
        <v>0</v>
      </c>
      <c r="M15" s="67" t="n">
        <f aca="false">ROUND(M14-(M12+L12+IF(Assumptions!M$204=8,K12,0)),0)</f>
        <v>0</v>
      </c>
      <c r="N15" s="67" t="n">
        <f aca="false">ROUND(N14-(N12+M12+IF(Assumptions!N$204=8,L12,0)),0)</f>
        <v>0</v>
      </c>
      <c r="O15" s="67" t="n">
        <f aca="false">ROUND(O14-(O12+N12+IF(Assumptions!O$204=8,M12,0)),0)</f>
        <v>0</v>
      </c>
      <c r="P15" s="67" t="n">
        <f aca="false">ROUND(P14-(P12+O12+IF(Assumptions!P$204=8,N12,0)),0)</f>
        <v>0</v>
      </c>
      <c r="Q15" s="67" t="n">
        <f aca="false">ROUND(Q14-(Q12+P12+IF(Assumptions!Q$204=8,O12,0)),0)</f>
        <v>0</v>
      </c>
      <c r="R15" s="67" t="n">
        <f aca="false">ROUND(R14-(R12+Q12+IF(Assumptions!R$204=8,P12,0)),0)</f>
        <v>0</v>
      </c>
      <c r="S15" s="67" t="n">
        <f aca="false">ROUND(S14-(S12+R12+IF(Assumptions!S$204=8,Q12,0)),0)</f>
        <v>0</v>
      </c>
      <c r="T15" s="67" t="n">
        <f aca="false">ROUND(T14-(T12+S12+IF(Assumptions!T$204=8,R12,0)),0)</f>
        <v>0</v>
      </c>
      <c r="U15" s="67" t="n">
        <f aca="false">ROUND(U14-(U12+T12+IF(Assumptions!U$204=8,S12,0)),0)</f>
        <v>0</v>
      </c>
      <c r="V15" s="67" t="n">
        <f aca="false">ROUND(V14-(V12+U12+IF(Assumptions!V$204=8,T12,0)),0)</f>
        <v>0</v>
      </c>
      <c r="W15" s="67" t="n">
        <f aca="false">ROUND(W14-(W12+V12+IF(Assumptions!W$204=8,U12,0)),0)</f>
        <v>0</v>
      </c>
      <c r="X15" s="67" t="n">
        <f aca="false">ROUND(X14-(X12+W12+IF(Assumptions!X$204=8,V12,0)),0)</f>
        <v>0</v>
      </c>
      <c r="Y15" s="67" t="n">
        <f aca="false">ROUND(Y14-(Y12+X12+IF(Assumptions!Y$204=8,W12,0)),0)</f>
        <v>0</v>
      </c>
      <c r="Z15" s="67" t="n">
        <f aca="false">ROUND(Z14-(Z12+Y12+IF(Assumptions!Z$204=8,X12,0)),0)</f>
        <v>0</v>
      </c>
      <c r="AA15" s="67" t="n">
        <f aca="false">ROUND(AA14-(AA12+Z12+IF(Assumptions!AA$204=8,Y12,0)),0)</f>
        <v>0</v>
      </c>
      <c r="AB15" s="67" t="n">
        <f aca="false">ROUND(AB14-(AB12+AA12+IF(Assumptions!AB$204=8,Z12,0)),0)</f>
        <v>0</v>
      </c>
    </row>
    <row r="16" customFormat="false" ht="15" hidden="false" customHeight="false" outlineLevel="0" collapsed="false">
      <c r="A16" s="27" t="s">
        <v>1474</v>
      </c>
      <c r="B16" s="63" t="s">
        <v>535</v>
      </c>
      <c r="C16" s="66" t="n">
        <f aca="false">SUM(E16:P16)</f>
        <v>55718.7942890599</v>
      </c>
      <c r="D16" s="66" t="n">
        <f aca="false">SUM(Q16:AB16)</f>
        <v>60876.2281145263</v>
      </c>
      <c r="E16" s="67" t="n">
        <f aca="false">Overheads!E23*Assumptions!$C$18</f>
        <v>4448.37138950607</v>
      </c>
      <c r="F16" s="67" t="n">
        <f aca="false">Overheads!F23*Assumptions!$C$18</f>
        <v>4424.65377438507</v>
      </c>
      <c r="G16" s="67" t="n">
        <f aca="false">Overheads!G23*Assumptions!$C$18</f>
        <v>4577.87151222873</v>
      </c>
      <c r="H16" s="67" t="n">
        <f aca="false">Overheads!H23*Assumptions!$C$18</f>
        <v>4613.98925941966</v>
      </c>
      <c r="I16" s="67" t="n">
        <f aca="false">Overheads!I23*Assumptions!$C$18</f>
        <v>4566.90546657382</v>
      </c>
      <c r="J16" s="67" t="n">
        <f aca="false">Overheads!J23*Assumptions!$C$18</f>
        <v>4540.7282467813</v>
      </c>
      <c r="K16" s="67" t="n">
        <f aca="false">Overheads!K23*Assumptions!$C$18</f>
        <v>4626.17493764514</v>
      </c>
      <c r="L16" s="67" t="n">
        <f aca="false">Overheads!L23*Assumptions!$C$18</f>
        <v>4625.9975975976</v>
      </c>
      <c r="M16" s="67" t="n">
        <f aca="false">Overheads!M23*Assumptions!$C$18</f>
        <v>4711.11940661258</v>
      </c>
      <c r="N16" s="67" t="n">
        <f aca="false">Overheads!N23*Assumptions!$C$18</f>
        <v>4694.91200307577</v>
      </c>
      <c r="O16" s="67" t="n">
        <f aca="false">Overheads!O23*Assumptions!$C$18</f>
        <v>4945.63583472983</v>
      </c>
      <c r="P16" s="67" t="n">
        <f aca="false">Overheads!P23*Assumptions!$C$18</f>
        <v>4942.43486050436</v>
      </c>
      <c r="Q16" s="67" t="n">
        <f aca="false">Overheads!Q23*Assumptions!$C$18</f>
        <v>5000.74478892244</v>
      </c>
      <c r="R16" s="67" t="n">
        <f aca="false">Overheads!R23*Assumptions!$C$18</f>
        <v>5067.21845826979</v>
      </c>
      <c r="S16" s="67" t="n">
        <f aca="false">Overheads!S23*Assumptions!$C$18</f>
        <v>5036.91173732307</v>
      </c>
      <c r="T16" s="67" t="n">
        <f aca="false">Overheads!T23*Assumptions!$C$18</f>
        <v>5075.16468217649</v>
      </c>
      <c r="U16" s="67" t="n">
        <f aca="false">Overheads!U23*Assumptions!$C$18</f>
        <v>5079.38167782118</v>
      </c>
      <c r="V16" s="67" t="n">
        <f aca="false">Overheads!V23*Assumptions!$C$18</f>
        <v>5088.04626398517</v>
      </c>
      <c r="W16" s="67" t="n">
        <f aca="false">Overheads!W23*Assumptions!$C$18</f>
        <v>5092.76025646965</v>
      </c>
      <c r="X16" s="67" t="n">
        <f aca="false">Overheads!X23*Assumptions!$C$18</f>
        <v>5074.17656508513</v>
      </c>
      <c r="Y16" s="67" t="n">
        <f aca="false">Overheads!Y23*Assumptions!$C$18</f>
        <v>5082.84070252265</v>
      </c>
      <c r="Z16" s="67" t="n">
        <f aca="false">Overheads!Z23*Assumptions!$C$18</f>
        <v>5088.7581213432</v>
      </c>
      <c r="AA16" s="67" t="n">
        <f aca="false">Overheads!AA23*Assumptions!$C$18</f>
        <v>5090.75820228485</v>
      </c>
      <c r="AB16" s="67" t="n">
        <f aca="false">Overheads!AB23*Assumptions!$C$18</f>
        <v>5099.46665832272</v>
      </c>
    </row>
    <row r="17" customFormat="false" ht="15" hidden="false" customHeight="false" outlineLevel="0" collapsed="false">
      <c r="A17" s="27" t="s">
        <v>1475</v>
      </c>
      <c r="B17" s="63" t="s">
        <v>535</v>
      </c>
      <c r="C17" s="66" t="n">
        <f aca="false">SUM(E17:P17)</f>
        <v>804445.6701985</v>
      </c>
      <c r="D17" s="66" t="n">
        <f aca="false">SUM(Q17:AB17)</f>
        <v>851664.772767624</v>
      </c>
      <c r="E17" s="67" t="n">
        <f aca="false">Receivables!E30</f>
        <v>99404.4578153928</v>
      </c>
      <c r="F17" s="67" t="n">
        <f aca="false">Receivables!F30</f>
        <v>57334.22514233</v>
      </c>
      <c r="G17" s="67" t="n">
        <f aca="false">Receivables!G30</f>
        <v>89918.7627047913</v>
      </c>
      <c r="H17" s="67" t="n">
        <f aca="false">Receivables!H30</f>
        <v>59081.5022915326</v>
      </c>
      <c r="I17" s="67" t="n">
        <f aca="false">Receivables!I30</f>
        <v>58185.8500504254</v>
      </c>
      <c r="J17" s="67" t="n">
        <f aca="false">Receivables!J30</f>
        <v>81321.2466147895</v>
      </c>
      <c r="K17" s="67" t="n">
        <f aca="false">Receivables!K30</f>
        <v>58036.8923705229</v>
      </c>
      <c r="L17" s="67" t="n">
        <f aca="false">Receivables!L30</f>
        <v>52758.8532825825</v>
      </c>
      <c r="M17" s="67" t="n">
        <f aca="false">Receivables!M30</f>
        <v>62980.9058166363</v>
      </c>
      <c r="N17" s="67" t="n">
        <f aca="false">Receivables!N30</f>
        <v>60778.2859911601</v>
      </c>
      <c r="O17" s="67" t="n">
        <f aca="false">Receivables!O30</f>
        <v>61273.9761538344</v>
      </c>
      <c r="P17" s="67" t="n">
        <f aca="false">Receivables!P30</f>
        <v>63370.7119645026</v>
      </c>
      <c r="Q17" s="67" t="n">
        <f aca="false">Receivables!Q30</f>
        <v>90205.3198268882</v>
      </c>
      <c r="R17" s="67" t="n">
        <f aca="false">Receivables!R30</f>
        <v>65105.7157076343</v>
      </c>
      <c r="S17" s="67" t="n">
        <f aca="false">Receivables!S30</f>
        <v>67939.3005953324</v>
      </c>
      <c r="T17" s="67" t="n">
        <f aca="false">Receivables!T30</f>
        <v>70836.2047191371</v>
      </c>
      <c r="U17" s="67" t="n">
        <f aca="false">Receivables!U30</f>
        <v>67948.540836191</v>
      </c>
      <c r="V17" s="67" t="n">
        <f aca="false">Receivables!V30</f>
        <v>71084.7258392877</v>
      </c>
      <c r="W17" s="67" t="n">
        <f aca="false">Receivables!W30</f>
        <v>67347.7988610476</v>
      </c>
      <c r="X17" s="67" t="n">
        <f aca="false">Receivables!X30</f>
        <v>60920.066646131</v>
      </c>
      <c r="Y17" s="67" t="n">
        <f aca="false">Receivables!Y30</f>
        <v>71382.563144226</v>
      </c>
      <c r="Z17" s="67" t="n">
        <f aca="false">Receivables!Z30</f>
        <v>72797.1887702198</v>
      </c>
      <c r="AA17" s="67" t="n">
        <f aca="false">Receivables!AA30</f>
        <v>72133.0207956304</v>
      </c>
      <c r="AB17" s="67" t="n">
        <f aca="false">Receivables!AB30</f>
        <v>73964.327025899</v>
      </c>
    </row>
    <row r="18" customFormat="false" ht="15" hidden="false" customHeight="false" outlineLevel="0" collapsed="false">
      <c r="A18" s="27" t="s">
        <v>1476</v>
      </c>
      <c r="B18" s="63" t="s">
        <v>535</v>
      </c>
      <c r="C18" s="66" t="n">
        <f aca="false">SUM(E18:P18)</f>
        <v>301569.6</v>
      </c>
      <c r="D18" s="66" t="n">
        <f aca="false">SUM(Q18:AB18)</f>
        <v>298272</v>
      </c>
      <c r="E18" s="67" t="n">
        <f aca="false">Receivables!E27</f>
        <v>22320</v>
      </c>
      <c r="F18" s="67" t="n">
        <f aca="false">Receivables!F27</f>
        <v>23640</v>
      </c>
      <c r="G18" s="67" t="n">
        <f aca="false">Receivables!G27</f>
        <v>26880</v>
      </c>
      <c r="H18" s="67" t="n">
        <f aca="false">Receivables!H27</f>
        <v>24120</v>
      </c>
      <c r="I18" s="67" t="n">
        <f aca="false">Receivables!I27</f>
        <v>25440</v>
      </c>
      <c r="J18" s="67" t="n">
        <f aca="false">Receivables!J27</f>
        <v>28560</v>
      </c>
      <c r="K18" s="67" t="n">
        <f aca="false">Receivables!K27</f>
        <v>23520</v>
      </c>
      <c r="L18" s="67" t="n">
        <f aca="false">Receivables!L27</f>
        <v>14520</v>
      </c>
      <c r="M18" s="67" t="n">
        <f aca="false">Receivables!M27</f>
        <v>29452.8</v>
      </c>
      <c r="N18" s="67" t="n">
        <f aca="false">Receivables!N27</f>
        <v>31948.8</v>
      </c>
      <c r="O18" s="67" t="n">
        <f aca="false">Receivables!O27</f>
        <v>26707.2</v>
      </c>
      <c r="P18" s="67" t="n">
        <f aca="false">Receivables!P27</f>
        <v>24460.8</v>
      </c>
      <c r="Q18" s="67" t="n">
        <f aca="false">Receivables!Q27</f>
        <v>21964.8</v>
      </c>
      <c r="R18" s="67" t="n">
        <f aca="false">Receivables!R27</f>
        <v>22963.2</v>
      </c>
      <c r="S18" s="67" t="n">
        <f aca="false">Receivables!S27</f>
        <v>26208</v>
      </c>
      <c r="T18" s="67" t="n">
        <f aca="false">Receivables!T27</f>
        <v>23712</v>
      </c>
      <c r="U18" s="67" t="n">
        <f aca="false">Receivables!U27</f>
        <v>24960</v>
      </c>
      <c r="V18" s="67" t="n">
        <f aca="false">Receivables!V27</f>
        <v>27955.2</v>
      </c>
      <c r="W18" s="67" t="n">
        <f aca="false">Receivables!W27</f>
        <v>22963.2</v>
      </c>
      <c r="X18" s="67" t="n">
        <f aca="false">Receivables!X27</f>
        <v>14976</v>
      </c>
      <c r="Y18" s="67" t="n">
        <f aca="false">Receivables!Y27</f>
        <v>29452.8</v>
      </c>
      <c r="Z18" s="67" t="n">
        <f aca="false">Receivables!Z27</f>
        <v>31948.8</v>
      </c>
      <c r="AA18" s="67" t="n">
        <f aca="false">Receivables!AA27</f>
        <v>26707.2</v>
      </c>
      <c r="AB18" s="67" t="n">
        <f aca="false">Receivables!AB27</f>
        <v>24460.8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1477</v>
      </c>
    </row>
    <row r="3" customFormat="false" ht="15" hidden="false" customHeight="false" outlineLevel="0" collapsed="false">
      <c r="A3" s="50" t="s">
        <v>1478</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7" t="s">
        <v>1479</v>
      </c>
      <c r="B8" s="63" t="s">
        <v>30</v>
      </c>
      <c r="C8" s="66" t="n">
        <f aca="false">SUM(E8:P8)</f>
        <v>691144.539384245</v>
      </c>
      <c r="D8" s="66" t="n">
        <f aca="false">SUM(Q8:AB8)</f>
        <v>898477.246226302</v>
      </c>
      <c r="E8" s="67" t="n">
        <f aca="false">PL!E52</f>
        <v>31963.5995782345</v>
      </c>
      <c r="F8" s="67" t="n">
        <f aca="false">PL!F52</f>
        <v>43133.9524407434</v>
      </c>
      <c r="G8" s="67" t="n">
        <f aca="false">PL!G52</f>
        <v>62391.0208113078</v>
      </c>
      <c r="H8" s="67" t="n">
        <f aca="false">PL!H52</f>
        <v>75497.4459971166</v>
      </c>
      <c r="I8" s="67" t="n">
        <f aca="false">PL!I52</f>
        <v>55155.1549483635</v>
      </c>
      <c r="J8" s="67" t="n">
        <f aca="false">PL!J52</f>
        <v>372.318054653349</v>
      </c>
      <c r="K8" s="67" t="n">
        <f aca="false">PL!K52</f>
        <v>57547.3150928625</v>
      </c>
      <c r="L8" s="67" t="n">
        <f aca="false">PL!L52</f>
        <v>38158.4445020183</v>
      </c>
      <c r="M8" s="67" t="n">
        <f aca="false">PL!M52</f>
        <v>84477.4322487814</v>
      </c>
      <c r="N8" s="67" t="n">
        <f aca="false">PL!N52</f>
        <v>79900.7706774713</v>
      </c>
      <c r="O8" s="67" t="n">
        <f aca="false">PL!O52</f>
        <v>74003.8887617389</v>
      </c>
      <c r="P8" s="67" t="n">
        <f aca="false">PL!P52</f>
        <v>88543.1962709532</v>
      </c>
      <c r="Q8" s="67" t="n">
        <f aca="false">PL!Q52</f>
        <v>54041.5966493809</v>
      </c>
      <c r="R8" s="67" t="n">
        <f aca="false">PL!R52</f>
        <v>66068.9461810039</v>
      </c>
      <c r="S8" s="67" t="n">
        <f aca="false">PL!S52</f>
        <v>66392.3303100872</v>
      </c>
      <c r="T8" s="67" t="n">
        <f aca="false">PL!T52</f>
        <v>74560.3507723069</v>
      </c>
      <c r="U8" s="67" t="n">
        <f aca="false">PL!U52</f>
        <v>63374.0259466977</v>
      </c>
      <c r="V8" s="67" t="n">
        <f aca="false">PL!V52</f>
        <v>85538.6151107389</v>
      </c>
      <c r="W8" s="67" t="n">
        <f aca="false">PL!W52</f>
        <v>78308.2131257408</v>
      </c>
      <c r="X8" s="67" t="n">
        <f aca="false">PL!X52</f>
        <v>58608.7609503354</v>
      </c>
      <c r="Y8" s="67" t="n">
        <f aca="false">PL!Y52</f>
        <v>86647.3690378449</v>
      </c>
      <c r="Z8" s="67" t="n">
        <f aca="false">PL!Z52</f>
        <v>90183.063382659</v>
      </c>
      <c r="AA8" s="67" t="n">
        <f aca="false">PL!AA52</f>
        <v>84584.0822127861</v>
      </c>
      <c r="AB8" s="67" t="n">
        <f aca="false">PL!AB52</f>
        <v>90169.8925467206</v>
      </c>
    </row>
    <row r="9" customFormat="false" ht="15" hidden="false" customHeight="false" outlineLevel="0" collapsed="false">
      <c r="A9" s="27" t="s">
        <v>1480</v>
      </c>
      <c r="B9" s="63"/>
      <c r="C9" s="66" t="n">
        <f aca="false">P9</f>
        <v>691144.539384245</v>
      </c>
      <c r="D9" s="66" t="n">
        <f aca="false">AB9</f>
        <v>898477.246226302</v>
      </c>
      <c r="E9" s="67" t="n">
        <f aca="false">MAX(0,SUMIFS(Tax!$E$8:$AB$8,Assumptions!$E$203:$AB$203,Assumptions!E$203,Assumptions!$E$201:$AB$201,"&lt;="&amp;Assumptions!E$201))</f>
        <v>31963.5995782345</v>
      </c>
      <c r="F9" s="67" t="n">
        <f aca="false">MAX(0,SUMIFS(Tax!$E$8:$AB$8,Assumptions!$E$203:$AB$203,Assumptions!F$203,Assumptions!$E$201:$AB$201,"&lt;="&amp;Assumptions!F$201))</f>
        <v>75097.552018978</v>
      </c>
      <c r="G9" s="67" t="n">
        <f aca="false">MAX(0,SUMIFS(Tax!$E$8:$AB$8,Assumptions!$E$203:$AB$203,Assumptions!G$203,Assumptions!$E$201:$AB$201,"&lt;="&amp;Assumptions!G$201))</f>
        <v>137488.572830286</v>
      </c>
      <c r="H9" s="67" t="n">
        <f aca="false">MAX(0,SUMIFS(Tax!$E$8:$AB$8,Assumptions!$E$203:$AB$203,Assumptions!H$203,Assumptions!$E$201:$AB$201,"&lt;="&amp;Assumptions!H$201))</f>
        <v>212986.018827402</v>
      </c>
      <c r="I9" s="67" t="n">
        <f aca="false">MAX(0,SUMIFS(Tax!$E$8:$AB$8,Assumptions!$E$203:$AB$203,Assumptions!I$203,Assumptions!$E$201:$AB$201,"&lt;="&amp;Assumptions!I$201))</f>
        <v>268141.173775766</v>
      </c>
      <c r="J9" s="67" t="n">
        <f aca="false">MAX(0,SUMIFS(Tax!$E$8:$AB$8,Assumptions!$E$203:$AB$203,Assumptions!J$203,Assumptions!$E$201:$AB$201,"&lt;="&amp;Assumptions!J$201))</f>
        <v>268513.491830419</v>
      </c>
      <c r="K9" s="67" t="n">
        <f aca="false">MAX(0,SUMIFS(Tax!$E$8:$AB$8,Assumptions!$E$203:$AB$203,Assumptions!K$203,Assumptions!$E$201:$AB$201,"&lt;="&amp;Assumptions!K$201))</f>
        <v>326060.806923282</v>
      </c>
      <c r="L9" s="67" t="n">
        <f aca="false">MAX(0,SUMIFS(Tax!$E$8:$AB$8,Assumptions!$E$203:$AB$203,Assumptions!L$203,Assumptions!$E$201:$AB$201,"&lt;="&amp;Assumptions!L$201))</f>
        <v>364219.2514253</v>
      </c>
      <c r="M9" s="67" t="n">
        <f aca="false">MAX(0,SUMIFS(Tax!$E$8:$AB$8,Assumptions!$E$203:$AB$203,Assumptions!M$203,Assumptions!$E$201:$AB$201,"&lt;="&amp;Assumptions!M$201))</f>
        <v>448696.683674081</v>
      </c>
      <c r="N9" s="67" t="n">
        <f aca="false">MAX(0,SUMIFS(Tax!$E$8:$AB$8,Assumptions!$E$203:$AB$203,Assumptions!N$203,Assumptions!$E$201:$AB$201,"&lt;="&amp;Assumptions!N$201))</f>
        <v>528597.454351553</v>
      </c>
      <c r="O9" s="67" t="n">
        <f aca="false">MAX(0,SUMIFS(Tax!$E$8:$AB$8,Assumptions!$E$203:$AB$203,Assumptions!O$203,Assumptions!$E$201:$AB$201,"&lt;="&amp;Assumptions!O$201))</f>
        <v>602601.343113291</v>
      </c>
      <c r="P9" s="67" t="n">
        <f aca="false">MAX(0,SUMIFS(Tax!$E$8:$AB$8,Assumptions!$E$203:$AB$203,Assumptions!P$203,Assumptions!$E$201:$AB$201,"&lt;="&amp;Assumptions!P$201))</f>
        <v>691144.539384245</v>
      </c>
      <c r="Q9" s="67" t="n">
        <f aca="false">MAX(0,SUMIFS(Tax!$E$8:$AB$8,Assumptions!$E$203:$AB$203,Assumptions!Q$203,Assumptions!$E$201:$AB$201,"&lt;="&amp;Assumptions!Q$201))</f>
        <v>54041.5966493809</v>
      </c>
      <c r="R9" s="67" t="n">
        <f aca="false">MAX(0,SUMIFS(Tax!$E$8:$AB$8,Assumptions!$E$203:$AB$203,Assumptions!R$203,Assumptions!$E$201:$AB$201,"&lt;="&amp;Assumptions!R$201))</f>
        <v>120110.542830385</v>
      </c>
      <c r="S9" s="67" t="n">
        <f aca="false">MAX(0,SUMIFS(Tax!$E$8:$AB$8,Assumptions!$E$203:$AB$203,Assumptions!S$203,Assumptions!$E$201:$AB$201,"&lt;="&amp;Assumptions!S$201))</f>
        <v>186502.873140472</v>
      </c>
      <c r="T9" s="67" t="n">
        <f aca="false">MAX(0,SUMIFS(Tax!$E$8:$AB$8,Assumptions!$E$203:$AB$203,Assumptions!T$203,Assumptions!$E$201:$AB$201,"&lt;="&amp;Assumptions!T$201))</f>
        <v>261063.223912779</v>
      </c>
      <c r="U9" s="67" t="n">
        <f aca="false">MAX(0,SUMIFS(Tax!$E$8:$AB$8,Assumptions!$E$203:$AB$203,Assumptions!U$203,Assumptions!$E$201:$AB$201,"&lt;="&amp;Assumptions!U$201))</f>
        <v>324437.249859477</v>
      </c>
      <c r="V9" s="67" t="n">
        <f aca="false">MAX(0,SUMIFS(Tax!$E$8:$AB$8,Assumptions!$E$203:$AB$203,Assumptions!V$203,Assumptions!$E$201:$AB$201,"&lt;="&amp;Assumptions!V$201))</f>
        <v>409975.864970216</v>
      </c>
      <c r="W9" s="67" t="n">
        <f aca="false">MAX(0,SUMIFS(Tax!$E$8:$AB$8,Assumptions!$E$203:$AB$203,Assumptions!W$203,Assumptions!$E$201:$AB$201,"&lt;="&amp;Assumptions!W$201))</f>
        <v>488284.078095956</v>
      </c>
      <c r="X9" s="67" t="n">
        <f aca="false">MAX(0,SUMIFS(Tax!$E$8:$AB$8,Assumptions!$E$203:$AB$203,Assumptions!X$203,Assumptions!$E$201:$AB$201,"&lt;="&amp;Assumptions!X$201))</f>
        <v>546892.839046292</v>
      </c>
      <c r="Y9" s="67" t="n">
        <f aca="false">MAX(0,SUMIFS(Tax!$E$8:$AB$8,Assumptions!$E$203:$AB$203,Assumptions!Y$203,Assumptions!$E$201:$AB$201,"&lt;="&amp;Assumptions!Y$201))</f>
        <v>633540.208084137</v>
      </c>
      <c r="Z9" s="67" t="n">
        <f aca="false">MAX(0,SUMIFS(Tax!$E$8:$AB$8,Assumptions!$E$203:$AB$203,Assumptions!Z$203,Assumptions!$E$201:$AB$201,"&lt;="&amp;Assumptions!Z$201))</f>
        <v>723723.271466796</v>
      </c>
      <c r="AA9" s="67" t="n">
        <f aca="false">MAX(0,SUMIFS(Tax!$E$8:$AB$8,Assumptions!$E$203:$AB$203,Assumptions!AA$203,Assumptions!$E$201:$AB$201,"&lt;="&amp;Assumptions!AA$201))</f>
        <v>808307.353679582</v>
      </c>
      <c r="AB9" s="67" t="n">
        <f aca="false">MAX(0,SUMIFS(Tax!$E$8:$AB$8,Assumptions!$E$203:$AB$203,Assumptions!AB$203,Assumptions!$E$201:$AB$201,"&lt;="&amp;Assumptions!AB$201))</f>
        <v>898477.246226302</v>
      </c>
    </row>
    <row r="10" customFormat="false" ht="15" hidden="false" customHeight="false" outlineLevel="0" collapsed="false">
      <c r="A10" s="27" t="s">
        <v>1481</v>
      </c>
      <c r="B10" s="63" t="s">
        <v>1482</v>
      </c>
      <c r="C10" s="65" t="n">
        <f aca="false">AVERAGE(E10:P10)</f>
        <v>0.19</v>
      </c>
      <c r="D10" s="65" t="n">
        <f aca="false">AVERAGE(Q10:AB10)</f>
        <v>0.18</v>
      </c>
      <c r="E10" s="64" t="n">
        <f aca="false">Assumptions!E$220</f>
        <v>0.19</v>
      </c>
      <c r="F10" s="64" t="n">
        <f aca="false">Assumptions!F$220</f>
        <v>0.19</v>
      </c>
      <c r="G10" s="64" t="n">
        <f aca="false">Assumptions!G$220</f>
        <v>0.19</v>
      </c>
      <c r="H10" s="64" t="n">
        <f aca="false">Assumptions!H$220</f>
        <v>0.19</v>
      </c>
      <c r="I10" s="64" t="n">
        <f aca="false">Assumptions!I$220</f>
        <v>0.19</v>
      </c>
      <c r="J10" s="64" t="n">
        <f aca="false">Assumptions!J$220</f>
        <v>0.19</v>
      </c>
      <c r="K10" s="64" t="n">
        <f aca="false">Assumptions!K$220</f>
        <v>0.19</v>
      </c>
      <c r="L10" s="64" t="n">
        <f aca="false">Assumptions!L$220</f>
        <v>0.19</v>
      </c>
      <c r="M10" s="64" t="n">
        <f aca="false">Assumptions!M$220</f>
        <v>0.19</v>
      </c>
      <c r="N10" s="64" t="n">
        <f aca="false">Assumptions!N$220</f>
        <v>0.19</v>
      </c>
      <c r="O10" s="64" t="n">
        <f aca="false">Assumptions!O$220</f>
        <v>0.19</v>
      </c>
      <c r="P10" s="64" t="n">
        <f aca="false">Assumptions!P$220</f>
        <v>0.19</v>
      </c>
      <c r="Q10" s="64" t="n">
        <f aca="false">Assumptions!Q$220</f>
        <v>0.18</v>
      </c>
      <c r="R10" s="64" t="n">
        <f aca="false">Assumptions!R$220</f>
        <v>0.18</v>
      </c>
      <c r="S10" s="64" t="n">
        <f aca="false">Assumptions!S$220</f>
        <v>0.18</v>
      </c>
      <c r="T10" s="64" t="n">
        <f aca="false">Assumptions!T$220</f>
        <v>0.18</v>
      </c>
      <c r="U10" s="64" t="n">
        <f aca="false">Assumptions!U$220</f>
        <v>0.18</v>
      </c>
      <c r="V10" s="64" t="n">
        <f aca="false">Assumptions!V$220</f>
        <v>0.18</v>
      </c>
      <c r="W10" s="64" t="n">
        <f aca="false">Assumptions!W$220</f>
        <v>0.18</v>
      </c>
      <c r="X10" s="64" t="n">
        <f aca="false">Assumptions!X$220</f>
        <v>0.18</v>
      </c>
      <c r="Y10" s="64" t="n">
        <f aca="false">Assumptions!Y$220</f>
        <v>0.18</v>
      </c>
      <c r="Z10" s="64" t="n">
        <f aca="false">Assumptions!Z$220</f>
        <v>0.18</v>
      </c>
      <c r="AA10" s="64" t="n">
        <f aca="false">Assumptions!AA$220</f>
        <v>0.18</v>
      </c>
      <c r="AB10" s="64" t="n">
        <f aca="false">Assumptions!AB$220</f>
        <v>0.18</v>
      </c>
    </row>
    <row r="11" customFormat="false" ht="15" hidden="false" customHeight="false" outlineLevel="0" collapsed="false">
      <c r="A11" s="27" t="s">
        <v>1483</v>
      </c>
      <c r="B11" s="63"/>
      <c r="C11" s="66" t="n">
        <f aca="false">P11</f>
        <v>129317.462483007</v>
      </c>
      <c r="D11" s="66" t="n">
        <f aca="false">AB11</f>
        <v>160225.904320734</v>
      </c>
      <c r="E11" s="67" t="n">
        <f aca="false">Assumptions!$C$24*MIN(Assumptions!$C$25,E9)+E10*MAX(0,E9-Assumptions!$C$25)</f>
        <v>4794.53993673518</v>
      </c>
      <c r="F11" s="67" t="n">
        <f aca="false">Assumptions!$C$24*MIN(Assumptions!$C$25,F9)+F10*MAX(0,F9-Assumptions!$C$25)</f>
        <v>12268.5348836058</v>
      </c>
      <c r="G11" s="67" t="n">
        <f aca="false">Assumptions!$C$24*MIN(Assumptions!$C$25,G9)+G10*MAX(0,G9-Assumptions!$C$25)</f>
        <v>24122.8288377543</v>
      </c>
      <c r="H11" s="67" t="n">
        <f aca="false">Assumptions!$C$24*MIN(Assumptions!$C$25,H9)+H10*MAX(0,H9-Assumptions!$C$25)</f>
        <v>38467.3435772064</v>
      </c>
      <c r="I11" s="67" t="n">
        <f aca="false">Assumptions!$C$24*MIN(Assumptions!$C$25,I9)+I10*MAX(0,I9-Assumptions!$C$25)</f>
        <v>48946.8230173955</v>
      </c>
      <c r="J11" s="67" t="n">
        <f aca="false">Assumptions!$C$24*MIN(Assumptions!$C$25,J9)+J10*MAX(0,J9-Assumptions!$C$25)</f>
        <v>49017.5634477796</v>
      </c>
      <c r="K11" s="67" t="n">
        <f aca="false">Assumptions!$C$24*MIN(Assumptions!$C$25,K9)+K10*MAX(0,K9-Assumptions!$C$25)</f>
        <v>59951.5533154235</v>
      </c>
      <c r="L11" s="67" t="n">
        <f aca="false">Assumptions!$C$24*MIN(Assumptions!$C$25,L9)+L10*MAX(0,L9-Assumptions!$C$25)</f>
        <v>67201.657770807</v>
      </c>
      <c r="M11" s="67" t="n">
        <f aca="false">Assumptions!$C$24*MIN(Assumptions!$C$25,M9)+M10*MAX(0,M9-Assumptions!$C$25)</f>
        <v>83252.3698980754</v>
      </c>
      <c r="N11" s="67" t="n">
        <f aca="false">Assumptions!$C$24*MIN(Assumptions!$C$25,N9)+N10*MAX(0,N9-Assumptions!$C$25)</f>
        <v>98433.516326795</v>
      </c>
      <c r="O11" s="67" t="n">
        <f aca="false">Assumptions!$C$24*MIN(Assumptions!$C$25,O9)+O10*MAX(0,O9-Assumptions!$C$25)</f>
        <v>112494.255191525</v>
      </c>
      <c r="P11" s="67" t="n">
        <f aca="false">Assumptions!$C$24*MIN(Assumptions!$C$25,P9)+P10*MAX(0,P9-Assumptions!$C$25)</f>
        <v>129317.462483007</v>
      </c>
      <c r="Q11" s="67" t="n">
        <f aca="false">Assumptions!$C$24*MIN(Assumptions!$C$25,Q9)+Q10*MAX(0,Q9-Assumptions!$C$25)</f>
        <v>8227.48739688856</v>
      </c>
      <c r="R11" s="67" t="n">
        <f aca="false">Assumptions!$C$24*MIN(Assumptions!$C$25,R9)+R10*MAX(0,R9-Assumptions!$C$25)</f>
        <v>20119.8977094693</v>
      </c>
      <c r="S11" s="67" t="n">
        <f aca="false">Assumptions!$C$24*MIN(Assumptions!$C$25,S9)+S10*MAX(0,S9-Assumptions!$C$25)</f>
        <v>32070.517165285</v>
      </c>
      <c r="T11" s="67" t="n">
        <f aca="false">Assumptions!$C$24*MIN(Assumptions!$C$25,T9)+T10*MAX(0,T9-Assumptions!$C$25)</f>
        <v>45491.3803043002</v>
      </c>
      <c r="U11" s="67" t="n">
        <f aca="false">Assumptions!$C$24*MIN(Assumptions!$C$25,U9)+U10*MAX(0,U9-Assumptions!$C$25)</f>
        <v>56898.7049747058</v>
      </c>
      <c r="V11" s="67" t="n">
        <f aca="false">Assumptions!$C$24*MIN(Assumptions!$C$25,V9)+V10*MAX(0,V9-Assumptions!$C$25)</f>
        <v>72295.6556946388</v>
      </c>
      <c r="W11" s="67" t="n">
        <f aca="false">Assumptions!$C$24*MIN(Assumptions!$C$25,W9)+W10*MAX(0,W9-Assumptions!$C$25)</f>
        <v>86391.1340572721</v>
      </c>
      <c r="X11" s="67" t="n">
        <f aca="false">Assumptions!$C$24*MIN(Assumptions!$C$25,X9)+X10*MAX(0,X9-Assumptions!$C$25)</f>
        <v>96940.7110283325</v>
      </c>
      <c r="Y11" s="67" t="n">
        <f aca="false">Assumptions!$C$24*MIN(Assumptions!$C$25,Y9)+Y10*MAX(0,Y9-Assumptions!$C$25)</f>
        <v>112537.237455145</v>
      </c>
      <c r="Z11" s="67" t="n">
        <f aca="false">Assumptions!$C$24*MIN(Assumptions!$C$25,Z9)+Z10*MAX(0,Z9-Assumptions!$C$25)</f>
        <v>128770.188864023</v>
      </c>
      <c r="AA11" s="67" t="n">
        <f aca="false">Assumptions!$C$24*MIN(Assumptions!$C$25,AA9)+AA10*MAX(0,AA9-Assumptions!$C$25)</f>
        <v>143995.323662325</v>
      </c>
      <c r="AB11" s="67" t="n">
        <f aca="false">Assumptions!$C$24*MIN(Assumptions!$C$25,AB9)+AB10*MAX(0,AB9-Assumptions!$C$25)</f>
        <v>160225.904320734</v>
      </c>
    </row>
    <row r="12" customFormat="false" ht="15" hidden="false" customHeight="false" outlineLevel="0" collapsed="false">
      <c r="A12" s="27" t="s">
        <v>1484</v>
      </c>
      <c r="B12" s="63" t="s">
        <v>1485</v>
      </c>
      <c r="C12" s="66" t="n">
        <f aca="false">P12</f>
        <v>10367.1680907637</v>
      </c>
      <c r="D12" s="66" t="n">
        <f aca="false">AB12</f>
        <v>13477.1586933945</v>
      </c>
      <c r="E12" s="67" t="n">
        <f aca="false">Assumptions!$C$26*E9</f>
        <v>479.453993673518</v>
      </c>
      <c r="F12" s="67" t="n">
        <f aca="false">Assumptions!$C$26*F9</f>
        <v>1126.46328028467</v>
      </c>
      <c r="G12" s="67" t="n">
        <f aca="false">Assumptions!$C$26*G9</f>
        <v>2062.32859245429</v>
      </c>
      <c r="H12" s="67" t="n">
        <f aca="false">Assumptions!$C$26*H9</f>
        <v>3194.79028241103</v>
      </c>
      <c r="I12" s="67" t="n">
        <f aca="false">Assumptions!$C$26*I9</f>
        <v>4022.11760663649</v>
      </c>
      <c r="J12" s="67" t="n">
        <f aca="false">Assumptions!$C$26*J9</f>
        <v>4027.70237745629</v>
      </c>
      <c r="K12" s="67" t="n">
        <f aca="false">Assumptions!$C$26*K9</f>
        <v>4890.91210384922</v>
      </c>
      <c r="L12" s="67" t="n">
        <f aca="false">Assumptions!$C$26*L9</f>
        <v>5463.2887713795</v>
      </c>
      <c r="M12" s="67" t="n">
        <f aca="false">Assumptions!$C$26*M9</f>
        <v>6730.45025511122</v>
      </c>
      <c r="N12" s="67" t="n">
        <f aca="false">Assumptions!$C$26*N9</f>
        <v>7928.96181527329</v>
      </c>
      <c r="O12" s="67" t="n">
        <f aca="false">Assumptions!$C$26*O9</f>
        <v>9039.02014669937</v>
      </c>
      <c r="P12" s="67" t="n">
        <f aca="false">Assumptions!$C$26*P9</f>
        <v>10367.1680907637</v>
      </c>
      <c r="Q12" s="67" t="n">
        <f aca="false">Assumptions!$C$26*Q9</f>
        <v>810.623949740714</v>
      </c>
      <c r="R12" s="67" t="n">
        <f aca="false">Assumptions!$C$26*R9</f>
        <v>1801.65814245577</v>
      </c>
      <c r="S12" s="67" t="n">
        <f aca="false">Assumptions!$C$26*S9</f>
        <v>2797.54309710708</v>
      </c>
      <c r="T12" s="67" t="n">
        <f aca="false">Assumptions!$C$26*T9</f>
        <v>3915.94835869169</v>
      </c>
      <c r="U12" s="67" t="n">
        <f aca="false">Assumptions!$C$26*U9</f>
        <v>4866.55874789215</v>
      </c>
      <c r="V12" s="67" t="n">
        <f aca="false">Assumptions!$C$26*V9</f>
        <v>6149.63797455323</v>
      </c>
      <c r="W12" s="67" t="n">
        <f aca="false">Assumptions!$C$26*W9</f>
        <v>7324.26117143935</v>
      </c>
      <c r="X12" s="67" t="n">
        <f aca="false">Assumptions!$C$26*X9</f>
        <v>8203.39258569438</v>
      </c>
      <c r="Y12" s="67" t="n">
        <f aca="false">Assumptions!$C$26*Y9</f>
        <v>9503.10312126205</v>
      </c>
      <c r="Z12" s="67" t="n">
        <f aca="false">Assumptions!$C$26*Z9</f>
        <v>10855.8490720019</v>
      </c>
      <c r="AA12" s="67" t="n">
        <f aca="false">Assumptions!$C$26*AA9</f>
        <v>12124.6103051937</v>
      </c>
      <c r="AB12" s="67" t="n">
        <f aca="false">Assumptions!$C$26*AB9</f>
        <v>13477.1586933945</v>
      </c>
    </row>
    <row r="13" customFormat="false" ht="15" hidden="false" customHeight="false" outlineLevel="0" collapsed="false">
      <c r="A13" s="27" t="s">
        <v>1486</v>
      </c>
      <c r="B13" s="63"/>
      <c r="C13" s="66" t="n">
        <f aca="false">P13</f>
        <v>139684.63057377</v>
      </c>
      <c r="D13" s="66" t="n">
        <f aca="false">AB13</f>
        <v>173703.063014129</v>
      </c>
      <c r="E13" s="76" t="n">
        <f aca="false">E11+E12</f>
        <v>5273.99393040869</v>
      </c>
      <c r="F13" s="76" t="n">
        <f aca="false">F11+F12</f>
        <v>13394.9981638905</v>
      </c>
      <c r="G13" s="76" t="n">
        <f aca="false">G11+G12</f>
        <v>26185.1574302086</v>
      </c>
      <c r="H13" s="76" t="n">
        <f aca="false">H11+H12</f>
        <v>41662.1338596175</v>
      </c>
      <c r="I13" s="76" t="n">
        <f aca="false">I11+I12</f>
        <v>52968.940624032</v>
      </c>
      <c r="J13" s="76" t="n">
        <f aca="false">J11+J12</f>
        <v>53045.2658252359</v>
      </c>
      <c r="K13" s="76" t="n">
        <f aca="false">K11+K12</f>
        <v>64842.4654192727</v>
      </c>
      <c r="L13" s="76" t="n">
        <f aca="false">L11+L12</f>
        <v>72664.9465421865</v>
      </c>
      <c r="M13" s="76" t="n">
        <f aca="false">M11+M12</f>
        <v>89982.8201531867</v>
      </c>
      <c r="N13" s="76" t="n">
        <f aca="false">N11+N12</f>
        <v>106362.478142068</v>
      </c>
      <c r="O13" s="76" t="n">
        <f aca="false">O11+O12</f>
        <v>121533.275338225</v>
      </c>
      <c r="P13" s="76" t="n">
        <f aca="false">P11+P12</f>
        <v>139684.63057377</v>
      </c>
      <c r="Q13" s="76" t="n">
        <f aca="false">Q11+Q12</f>
        <v>9038.11134662928</v>
      </c>
      <c r="R13" s="76" t="n">
        <f aca="false">R11+R12</f>
        <v>21921.555851925</v>
      </c>
      <c r="S13" s="76" t="n">
        <f aca="false">S11+S12</f>
        <v>34868.0602623921</v>
      </c>
      <c r="T13" s="76" t="n">
        <f aca="false">T11+T12</f>
        <v>49407.3286629919</v>
      </c>
      <c r="U13" s="76" t="n">
        <f aca="false">U11+U12</f>
        <v>61765.263722598</v>
      </c>
      <c r="V13" s="76" t="n">
        <f aca="false">V11+V12</f>
        <v>78445.2936691921</v>
      </c>
      <c r="W13" s="76" t="n">
        <f aca="false">W11+W12</f>
        <v>93715.3952287115</v>
      </c>
      <c r="X13" s="76" t="n">
        <f aca="false">X11+X12</f>
        <v>105144.103614027</v>
      </c>
      <c r="Y13" s="76" t="n">
        <f aca="false">Y11+Y12</f>
        <v>122040.340576407</v>
      </c>
      <c r="Z13" s="76" t="n">
        <f aca="false">Z11+Z12</f>
        <v>139626.037936025</v>
      </c>
      <c r="AA13" s="76" t="n">
        <f aca="false">AA11+AA12</f>
        <v>156119.933967518</v>
      </c>
      <c r="AB13" s="76" t="n">
        <f aca="false">AB11+AB12</f>
        <v>173703.063014129</v>
      </c>
    </row>
    <row r="14" customFormat="false" ht="15" hidden="false" customHeight="false" outlineLevel="0" collapsed="false">
      <c r="A14" s="59" t="s">
        <v>1487</v>
      </c>
      <c r="B14" s="60"/>
      <c r="C14" s="61" t="n">
        <f aca="false">SUM(E14:P14)</f>
        <v>139684.63057377</v>
      </c>
      <c r="D14" s="61" t="n">
        <f aca="false">SUM(Q14:AB14)</f>
        <v>173703.063014129</v>
      </c>
      <c r="E14" s="62" t="n">
        <f aca="false">E13-IF(Assumptions!E$204=1,0,0)</f>
        <v>5273.99393040869</v>
      </c>
      <c r="F14" s="62" t="n">
        <f aca="false">F13-IF(Assumptions!F$204=1,0,E13)</f>
        <v>8121.00423348179</v>
      </c>
      <c r="G14" s="62" t="n">
        <f aca="false">G13-IF(Assumptions!G$204=1,0,F13)</f>
        <v>12790.1592663181</v>
      </c>
      <c r="H14" s="62" t="n">
        <f aca="false">H13-IF(Assumptions!H$204=1,0,G13)</f>
        <v>15476.9764294089</v>
      </c>
      <c r="I14" s="62" t="n">
        <f aca="false">I13-IF(Assumptions!I$204=1,0,H13)</f>
        <v>11306.8067644145</v>
      </c>
      <c r="J14" s="62" t="n">
        <f aca="false">J13-IF(Assumptions!J$204=1,0,I13)</f>
        <v>76.3252012039375</v>
      </c>
      <c r="K14" s="62" t="n">
        <f aca="false">K13-IF(Assumptions!K$204=1,0,J13)</f>
        <v>11797.1995940368</v>
      </c>
      <c r="L14" s="62" t="n">
        <f aca="false">L13-IF(Assumptions!L$204=1,0,K13)</f>
        <v>7822.48112291375</v>
      </c>
      <c r="M14" s="62" t="n">
        <f aca="false">M13-IF(Assumptions!M$204=1,0,L13)</f>
        <v>17317.8736110002</v>
      </c>
      <c r="N14" s="62" t="n">
        <f aca="false">N13-IF(Assumptions!N$204=1,0,M13)</f>
        <v>16379.6579888816</v>
      </c>
      <c r="O14" s="62" t="n">
        <f aca="false">O13-IF(Assumptions!O$204=1,0,N13)</f>
        <v>15170.7971961565</v>
      </c>
      <c r="P14" s="62" t="n">
        <f aca="false">P13-IF(Assumptions!P$204=1,0,O13)</f>
        <v>18151.3552355454</v>
      </c>
      <c r="Q14" s="62" t="n">
        <f aca="false">Q13-IF(Assumptions!Q$204=1,0,P13)</f>
        <v>9038.11134662928</v>
      </c>
      <c r="R14" s="62" t="n">
        <f aca="false">R13-IF(Assumptions!R$204=1,0,Q13)</f>
        <v>12883.4445052958</v>
      </c>
      <c r="S14" s="62" t="n">
        <f aca="false">S13-IF(Assumptions!S$204=1,0,R13)</f>
        <v>12946.504410467</v>
      </c>
      <c r="T14" s="62" t="n">
        <f aca="false">T13-IF(Assumptions!T$204=1,0,S13)</f>
        <v>14539.2684005999</v>
      </c>
      <c r="U14" s="62" t="n">
        <f aca="false">U13-IF(Assumptions!U$204=1,0,T13)</f>
        <v>12357.9350596061</v>
      </c>
      <c r="V14" s="62" t="n">
        <f aca="false">V13-IF(Assumptions!V$204=1,0,U13)</f>
        <v>16680.0299465941</v>
      </c>
      <c r="W14" s="62" t="n">
        <f aca="false">W13-IF(Assumptions!W$204=1,0,V13)</f>
        <v>15270.1015595194</v>
      </c>
      <c r="X14" s="62" t="n">
        <f aca="false">X13-IF(Assumptions!X$204=1,0,W13)</f>
        <v>11428.7083853154</v>
      </c>
      <c r="Y14" s="62" t="n">
        <f aca="false">Y13-IF(Assumptions!Y$204=1,0,X13)</f>
        <v>16896.2369623798</v>
      </c>
      <c r="Z14" s="62" t="n">
        <f aca="false">Z13-IF(Assumptions!Z$204=1,0,Y13)</f>
        <v>17585.6973596185</v>
      </c>
      <c r="AA14" s="62" t="n">
        <f aca="false">AA13-IF(Assumptions!AA$204=1,0,Z13)</f>
        <v>16493.8960314933</v>
      </c>
      <c r="AB14" s="62" t="n">
        <f aca="false">AB13-IF(Assumptions!AB$204=1,0,AA13)</f>
        <v>17583.1290466105</v>
      </c>
    </row>
    <row r="15" customFormat="false" ht="15" hidden="false" customHeight="false" outlineLevel="0" collapsed="false">
      <c r="A15" s="27" t="s">
        <v>1488</v>
      </c>
      <c r="B15" s="63" t="s">
        <v>1489</v>
      </c>
      <c r="C15" s="66" t="n">
        <f aca="false">SUM(E15:P15)</f>
        <v>219253.775</v>
      </c>
      <c r="D15" s="66" t="n">
        <f aca="false">SUM(Q15:AB15)</f>
        <v>122851.589358856</v>
      </c>
      <c r="E15" s="67" t="n">
        <f aca="false">IF(E$5="A",Inputs_Actuals!E271,IF(OR(Assumptions!E$204=7,Assumptions!E$204=9,Assumptions!E$204=12),Assumptions!$C$28*IF(Assumptions!E$203=2026,Assumptions!$C$27,Tax!$C$11)/3,0))</f>
        <v>0</v>
      </c>
      <c r="F15" s="67" t="n">
        <f aca="false">IF(F$5="A",Inputs_Actuals!F271,IF(OR(Assumptions!F$204=7,Assumptions!F$204=9,Assumptions!F$204=12),Assumptions!$C$28*IF(Assumptions!F$203=2026,Assumptions!$C$27,Tax!$C$11)/3,0))</f>
        <v>0</v>
      </c>
      <c r="G15" s="67" t="n">
        <f aca="false">IF(G$5="A",Inputs_Actuals!G271,IF(OR(Assumptions!G$204=7,Assumptions!G$204=9,Assumptions!G$204=12),Assumptions!$C$28*IF(Assumptions!G$203=2026,Assumptions!$C$27,Tax!$C$11)/3,0))</f>
        <v>0</v>
      </c>
      <c r="H15" s="67" t="n">
        <f aca="false">IF(H$5="A",Inputs_Actuals!H271,IF(OR(Assumptions!H$204=7,Assumptions!H$204=9,Assumptions!H$204=12),Assumptions!$C$28*IF(Assumptions!H$203=2026,Assumptions!$C$27,Tax!$C$11)/3,0))</f>
        <v>0</v>
      </c>
      <c r="I15" s="67" t="n">
        <f aca="false">IF(I$5="A",Inputs_Actuals!I271,IF(OR(Assumptions!I$204=7,Assumptions!I$204=9,Assumptions!I$204=12),Assumptions!$C$28*IF(Assumptions!I$203=2026,Assumptions!$C$27,Tax!$C$11)/3,0))</f>
        <v>0</v>
      </c>
      <c r="J15" s="67" t="n">
        <f aca="false">IF(J$5="A",Inputs_Actuals!J271,IF(OR(Assumptions!J$204=7,Assumptions!J$204=9,Assumptions!J$204=12),Assumptions!$C$28*IF(Assumptions!J$203=2026,Assumptions!$C$27,Tax!$C$11)/3,0))</f>
        <v>0</v>
      </c>
      <c r="K15" s="67" t="n">
        <f aca="false">IF(K$5="A",Inputs_Actuals!K271,IF(OR(Assumptions!K$204=7,Assumptions!K$204=9,Assumptions!K$204=12),Assumptions!$C$28*IF(Assumptions!K$203=2026,Assumptions!$C$27,Tax!$C$11)/3,0))</f>
        <v>73084.59</v>
      </c>
      <c r="L15" s="67" t="n">
        <f aca="false">IF(L$5="A",Inputs_Actuals!L271,IF(OR(Assumptions!L$204=7,Assumptions!L$204=9,Assumptions!L$204=12),Assumptions!$C$28*IF(Assumptions!L$203=2026,Assumptions!$C$27,Tax!$C$11)/3,0))</f>
        <v>0</v>
      </c>
      <c r="M15" s="67" t="n">
        <f aca="false">IF(M$5="A",Inputs_Actuals!M271,IF(OR(Assumptions!M$204=7,Assumptions!M$204=9,Assumptions!M$204=12),Assumptions!$C$28*IF(Assumptions!M$203=2026,Assumptions!$C$27,Tax!$C$11)/3,0))</f>
        <v>73084.5925</v>
      </c>
      <c r="N15" s="67" t="n">
        <f aca="false">IF(N$5="A",Inputs_Actuals!N271,IF(OR(Assumptions!N$204=7,Assumptions!N$204=9,Assumptions!N$204=12),Assumptions!$C$28*IF(Assumptions!N$203=2026,Assumptions!$C$27,Tax!$C$11)/3,0))</f>
        <v>0</v>
      </c>
      <c r="O15" s="67" t="n">
        <f aca="false">IF(O$5="A",Inputs_Actuals!O271,IF(OR(Assumptions!O$204=7,Assumptions!O$204=9,Assumptions!O$204=12),Assumptions!$C$28*IF(Assumptions!O$203=2026,Assumptions!$C$27,Tax!$C$11)/3,0))</f>
        <v>0</v>
      </c>
      <c r="P15" s="67" t="n">
        <f aca="false">IF(P$5="A",Inputs_Actuals!P271,IF(Assumptions!$C$29=1,MAX(0,MIN(Assumptions!$C$28*IF(Assumptions!P$203=2026,Assumptions!$C$27,Tax!$C$11)/3,Tax!$C$11-K15-M15)),Assumptions!$C$28*IF(Assumptions!P$203=2026,Assumptions!$C$27,Tax!$C$11)/3))</f>
        <v>73084.5925</v>
      </c>
      <c r="Q15" s="67" t="n">
        <f aca="false">IF(Q$5="A",Inputs_Actuals!Q271,IF(OR(Assumptions!Q$204=7,Assumptions!Q$204=9,Assumptions!Q$204=12),Assumptions!$C$28*IF(Assumptions!Q$203=2026,Assumptions!$C$27,Tax!$C$11)/3,0))</f>
        <v>0</v>
      </c>
      <c r="R15" s="67" t="n">
        <f aca="false">IF(R$5="A",Inputs_Actuals!R271,IF(OR(Assumptions!R$204=7,Assumptions!R$204=9,Assumptions!R$204=12),Assumptions!$C$28*IF(Assumptions!R$203=2026,Assumptions!$C$27,Tax!$C$11)/3,0))</f>
        <v>0</v>
      </c>
      <c r="S15" s="67" t="n">
        <f aca="false">IF(S$5="A",Inputs_Actuals!S271,IF(OR(Assumptions!S$204=7,Assumptions!S$204=9,Assumptions!S$204=12),Assumptions!$C$28*IF(Assumptions!S$203=2026,Assumptions!$C$27,Tax!$C$11)/3,0))</f>
        <v>0</v>
      </c>
      <c r="T15" s="67" t="n">
        <f aca="false">IF(T$5="A",Inputs_Actuals!T271,IF(OR(Assumptions!T$204=7,Assumptions!T$204=9,Assumptions!T$204=12),Assumptions!$C$28*IF(Assumptions!T$203=2026,Assumptions!$C$27,Tax!$C$11)/3,0))</f>
        <v>0</v>
      </c>
      <c r="U15" s="67" t="n">
        <f aca="false">IF(U$5="A",Inputs_Actuals!U271,IF(OR(Assumptions!U$204=7,Assumptions!U$204=9,Assumptions!U$204=12),Assumptions!$C$28*IF(Assumptions!U$203=2026,Assumptions!$C$27,Tax!$C$11)/3,0))</f>
        <v>0</v>
      </c>
      <c r="V15" s="67" t="n">
        <f aca="false">IF(V$5="A",Inputs_Actuals!V271,IF(OR(Assumptions!V$204=7,Assumptions!V$204=9,Assumptions!V$204=12),Assumptions!$C$28*IF(Assumptions!V$203=2026,Assumptions!$C$27,Tax!$C$11)/3,0))</f>
        <v>0</v>
      </c>
      <c r="W15" s="67" t="n">
        <f aca="false">IF(W$5="A",Inputs_Actuals!W271,IF(OR(Assumptions!W$204=7,Assumptions!W$204=9,Assumptions!W$204=12),Assumptions!$C$28*IF(Assumptions!W$203=2026,Assumptions!$C$27,Tax!$C$11)/3,0))</f>
        <v>40950.5297862854</v>
      </c>
      <c r="X15" s="67" t="n">
        <f aca="false">IF(X$5="A",Inputs_Actuals!X271,IF(OR(Assumptions!X$204=7,Assumptions!X$204=9,Assumptions!X$204=12),Assumptions!$C$28*IF(Assumptions!X$203=2026,Assumptions!$C$27,Tax!$C$11)/3,0))</f>
        <v>0</v>
      </c>
      <c r="Y15" s="67" t="n">
        <f aca="false">IF(Y$5="A",Inputs_Actuals!Y271,IF(OR(Assumptions!Y$204=7,Assumptions!Y$204=9,Assumptions!Y$204=12),Assumptions!$C$28*IF(Assumptions!Y$203=2026,Assumptions!$C$27,Tax!$C$11)/3,0))</f>
        <v>40950.5297862854</v>
      </c>
      <c r="Z15" s="67" t="n">
        <f aca="false">IF(Z$5="A",Inputs_Actuals!Z271,IF(OR(Assumptions!Z$204=7,Assumptions!Z$204=9,Assumptions!Z$204=12),Assumptions!$C$28*IF(Assumptions!Z$203=2026,Assumptions!$C$27,Tax!$C$11)/3,0))</f>
        <v>0</v>
      </c>
      <c r="AA15" s="67" t="n">
        <f aca="false">IF(AA$5="A",Inputs_Actuals!AA271,IF(OR(Assumptions!AA$204=7,Assumptions!AA$204=9,Assumptions!AA$204=12),Assumptions!$C$28*IF(Assumptions!AA$203=2026,Assumptions!$C$27,Tax!$C$11)/3,0))</f>
        <v>0</v>
      </c>
      <c r="AB15" s="67" t="n">
        <f aca="false">IF(AB$5="A",Inputs_Actuals!AB271,IF(OR(Assumptions!AB$204=7,Assumptions!AB$204=9,Assumptions!AB$204=12),Assumptions!$C$28*IF(Assumptions!AB$203=2026,Assumptions!$C$27,Tax!$C$11)/3,0))</f>
        <v>40950.5297862854</v>
      </c>
    </row>
    <row r="16" customFormat="false" ht="15" hidden="false" customHeight="false" outlineLevel="0" collapsed="false">
      <c r="A16" s="27" t="s">
        <v>1490</v>
      </c>
      <c r="B16" s="63" t="s">
        <v>1491</v>
      </c>
      <c r="C16" s="66" t="n">
        <f aca="false">SUM(E16:P16)</f>
        <v>105752.96</v>
      </c>
      <c r="D16" s="66" t="n">
        <f aca="false">SUM(Q16:AB16)</f>
        <v>0</v>
      </c>
      <c r="E16" s="67" t="n">
        <f aca="false">IF(E$5="A",Inputs_Actuals!E270,0)</f>
        <v>0</v>
      </c>
      <c r="F16" s="67" t="n">
        <f aca="false">IF(F$5="A",Inputs_Actuals!F270,0)</f>
        <v>0</v>
      </c>
      <c r="G16" s="67" t="n">
        <f aca="false">IF(G$5="A",Inputs_Actuals!G270,0)</f>
        <v>0</v>
      </c>
      <c r="H16" s="67" t="n">
        <f aca="false">IF(H$5="A",Inputs_Actuals!H270,0)</f>
        <v>0</v>
      </c>
      <c r="I16" s="67" t="n">
        <f aca="false">IF(I$5="A",Inputs_Actuals!I270,0)</f>
        <v>0</v>
      </c>
      <c r="J16" s="67" t="n">
        <f aca="false">IF(J$5="A",Inputs_Actuals!J270,0)</f>
        <v>105752.96</v>
      </c>
      <c r="K16" s="67" t="n">
        <f aca="false">IF(K$5="A",Inputs_Actuals!K270,0)</f>
        <v>0</v>
      </c>
      <c r="L16" s="67" t="n">
        <f aca="false">IF(L$5="A",Inputs_Actuals!L270,0)</f>
        <v>0</v>
      </c>
      <c r="M16" s="67" t="n">
        <f aca="false">IF(M$5="A",Inputs_Actuals!M270,0)</f>
        <v>0</v>
      </c>
      <c r="N16" s="67" t="n">
        <f aca="false">IF(N$5="A",Inputs_Actuals!N270,0)</f>
        <v>0</v>
      </c>
      <c r="O16" s="67" t="n">
        <f aca="false">IF(O$5="A",Inputs_Actuals!O270,0)</f>
        <v>0</v>
      </c>
      <c r="P16" s="67" t="n">
        <f aca="false">IF(P$5="A",Inputs_Actuals!P270,0)</f>
        <v>0</v>
      </c>
      <c r="Q16" s="67" t="n">
        <f aca="false">IF(Q$5="A",Inputs_Actuals!Q270,0)</f>
        <v>0</v>
      </c>
      <c r="R16" s="67" t="n">
        <f aca="false">IF(R$5="A",Inputs_Actuals!R270,0)</f>
        <v>0</v>
      </c>
      <c r="S16" s="67" t="n">
        <f aca="false">IF(S$5="A",Inputs_Actuals!S270,0)</f>
        <v>0</v>
      </c>
      <c r="T16" s="67" t="n">
        <f aca="false">IF(T$5="A",Inputs_Actuals!T270,0)</f>
        <v>0</v>
      </c>
      <c r="U16" s="67" t="n">
        <f aca="false">IF(U$5="A",Inputs_Actuals!U270,MAX(0,Tax!$C$13-Tax!$C$15))</f>
        <v>0</v>
      </c>
      <c r="V16" s="67" t="n">
        <f aca="false">IF(V$5="A",Inputs_Actuals!V270,0)</f>
        <v>0</v>
      </c>
      <c r="W16" s="67" t="n">
        <f aca="false">IF(W$5="A",Inputs_Actuals!W270,0)</f>
        <v>0</v>
      </c>
      <c r="X16" s="67" t="n">
        <f aca="false">IF(X$5="A",Inputs_Actuals!X270,0)</f>
        <v>0</v>
      </c>
      <c r="Y16" s="67" t="n">
        <f aca="false">IF(Y$5="A",Inputs_Actuals!Y270,0)</f>
        <v>0</v>
      </c>
      <c r="Z16" s="67" t="n">
        <f aca="false">IF(Z$5="A",Inputs_Actuals!Z270,0)</f>
        <v>0</v>
      </c>
      <c r="AA16" s="67" t="n">
        <f aca="false">IF(AA$5="A",Inputs_Actuals!AA270,0)</f>
        <v>0</v>
      </c>
      <c r="AB16" s="67" t="n">
        <f aca="false">IF(AB$5="A",Inputs_Actuals!AB270,0)</f>
        <v>0</v>
      </c>
    </row>
    <row r="17" customFormat="false" ht="15" hidden="false" customHeight="false" outlineLevel="0" collapsed="false">
      <c r="A17" s="27" t="s">
        <v>1492</v>
      </c>
      <c r="B17" s="63" t="s">
        <v>1493</v>
      </c>
      <c r="C17" s="66" t="n">
        <f aca="false">SUM(E17:P17)</f>
        <v>0</v>
      </c>
      <c r="D17" s="66" t="n">
        <f aca="false">SUM(Q17:AB17)</f>
        <v>79569.1444262298</v>
      </c>
      <c r="E17" s="76" t="n">
        <f aca="false">IF(E$5="A",0,0)</f>
        <v>0</v>
      </c>
      <c r="F17" s="76" t="n">
        <f aca="false">IF(F$5="A",0,0)</f>
        <v>0</v>
      </c>
      <c r="G17" s="76" t="n">
        <f aca="false">IF(G$5="A",0,0)</f>
        <v>0</v>
      </c>
      <c r="H17" s="76" t="n">
        <f aca="false">IF(H$5="A",0,0)</f>
        <v>0</v>
      </c>
      <c r="I17" s="76" t="n">
        <f aca="false">IF(I$5="A",0,0)</f>
        <v>0</v>
      </c>
      <c r="J17" s="76" t="n">
        <f aca="false">IF(J$5="A",0,0)</f>
        <v>0</v>
      </c>
      <c r="K17" s="76" t="n">
        <f aca="false">IF(K$5="A",0,0)</f>
        <v>0</v>
      </c>
      <c r="L17" s="76" t="n">
        <f aca="false">IF(L$5="A",0,0)</f>
        <v>0</v>
      </c>
      <c r="M17" s="76" t="n">
        <f aca="false">IF(M$5="A",0,0)</f>
        <v>0</v>
      </c>
      <c r="N17" s="76" t="n">
        <f aca="false">IF(N$5="A",0,0)</f>
        <v>0</v>
      </c>
      <c r="O17" s="76" t="n">
        <f aca="false">IF(O$5="A",0,0)</f>
        <v>0</v>
      </c>
      <c r="P17" s="76" t="n">
        <f aca="false">IF(P$5="A",0,0)</f>
        <v>0</v>
      </c>
      <c r="Q17" s="67" t="n">
        <f aca="false">IF(Q$5="A",0,IF(Assumptions!Q$200=Assumptions!$C$31,MAX(0,Tax!$C$15-Tax!$C$13),0))</f>
        <v>0</v>
      </c>
      <c r="R17" s="67" t="n">
        <f aca="false">IF(R$5="A",0,IF(Assumptions!R$200=Assumptions!$C$31,MAX(0,Tax!$C$15-Tax!$C$13),0))</f>
        <v>0</v>
      </c>
      <c r="S17" s="67" t="n">
        <f aca="false">IF(S$5="A",0,IF(Assumptions!S$200=Assumptions!$C$31,MAX(0,Tax!$C$15-Tax!$C$13),0))</f>
        <v>0</v>
      </c>
      <c r="T17" s="67" t="n">
        <f aca="false">IF(T$5="A",0,IF(Assumptions!T$200=Assumptions!$C$31,MAX(0,Tax!$C$15-Tax!$C$13),0))</f>
        <v>0</v>
      </c>
      <c r="U17" s="67" t="n">
        <f aca="false">IF(U$5="A",0,IF(Assumptions!U$200=Assumptions!$C$31,MAX(0,Tax!$C$15-Tax!$C$13),0))</f>
        <v>0</v>
      </c>
      <c r="V17" s="67" t="n">
        <f aca="false">IF(V$5="A",0,IF(Assumptions!V$200=Assumptions!$C$31,MAX(0,Tax!$C$15-Tax!$C$13),0))</f>
        <v>0</v>
      </c>
      <c r="W17" s="67" t="n">
        <f aca="false">IF(W$5="A",0,IF(Assumptions!W$200=Assumptions!$C$31,MAX(0,Tax!$C$15-Tax!$C$13),0))</f>
        <v>0</v>
      </c>
      <c r="X17" s="67" t="n">
        <f aca="false">IF(X$5="A",0,IF(Assumptions!X$200=Assumptions!$C$31,MAX(0,Tax!$C$15-Tax!$C$13),0))</f>
        <v>0</v>
      </c>
      <c r="Y17" s="67" t="n">
        <f aca="false">IF(Y$5="A",0,IF(Assumptions!Y$200=Assumptions!$C$31,MAX(0,Tax!$C$15-Tax!$C$13),0))</f>
        <v>79569.1444262298</v>
      </c>
      <c r="Z17" s="67" t="n">
        <f aca="false">IF(Z$5="A",0,IF(Assumptions!Z$200=Assumptions!$C$31,MAX(0,Tax!$C$15-Tax!$C$13),0))</f>
        <v>0</v>
      </c>
      <c r="AA17" s="67" t="n">
        <f aca="false">IF(AA$5="A",0,IF(Assumptions!AA$200=Assumptions!$C$31,MAX(0,Tax!$C$15-Tax!$C$13),0))</f>
        <v>0</v>
      </c>
      <c r="AB17" s="67" t="n">
        <f aca="false">IF(AB$5="A",0,IF(Assumptions!AB$200=Assumptions!$C$31,MAX(0,Tax!$C$15-Tax!$C$13),0))</f>
        <v>0</v>
      </c>
    </row>
    <row r="18" customFormat="false" ht="15" hidden="false" customHeight="false" outlineLevel="0" collapsed="false">
      <c r="A18" s="27" t="s">
        <v>1494</v>
      </c>
      <c r="B18" s="63"/>
      <c r="C18" s="66" t="n">
        <f aca="false">SUM(E18:P18)</f>
        <v>325006.735</v>
      </c>
      <c r="D18" s="66" t="n">
        <f aca="false">SUM(Q18:AB18)</f>
        <v>43282.4449326264</v>
      </c>
      <c r="E18" s="76" t="n">
        <f aca="false">E15+E16-E17</f>
        <v>0</v>
      </c>
      <c r="F18" s="76" t="n">
        <f aca="false">F15+F16-F17</f>
        <v>0</v>
      </c>
      <c r="G18" s="76" t="n">
        <f aca="false">G15+G16-G17</f>
        <v>0</v>
      </c>
      <c r="H18" s="76" t="n">
        <f aca="false">H15+H16-H17</f>
        <v>0</v>
      </c>
      <c r="I18" s="76" t="n">
        <f aca="false">I15+I16-I17</f>
        <v>0</v>
      </c>
      <c r="J18" s="76" t="n">
        <f aca="false">J15+J16-J17</f>
        <v>105752.96</v>
      </c>
      <c r="K18" s="76" t="n">
        <f aca="false">K15+K16-K17</f>
        <v>73084.59</v>
      </c>
      <c r="L18" s="76" t="n">
        <f aca="false">L15+L16-L17</f>
        <v>0</v>
      </c>
      <c r="M18" s="76" t="n">
        <f aca="false">M15+M16-M17</f>
        <v>73084.5925</v>
      </c>
      <c r="N18" s="76" t="n">
        <f aca="false">N15+N16-N17</f>
        <v>0</v>
      </c>
      <c r="O18" s="76" t="n">
        <f aca="false">O15+O16-O17</f>
        <v>0</v>
      </c>
      <c r="P18" s="76" t="n">
        <f aca="false">P15+P16-P17</f>
        <v>73084.5925</v>
      </c>
      <c r="Q18" s="76" t="n">
        <f aca="false">Q15+Q16-Q17</f>
        <v>0</v>
      </c>
      <c r="R18" s="76" t="n">
        <f aca="false">R15+R16-R17</f>
        <v>0</v>
      </c>
      <c r="S18" s="76" t="n">
        <f aca="false">S15+S16-S17</f>
        <v>0</v>
      </c>
      <c r="T18" s="76" t="n">
        <f aca="false">T15+T16-T17</f>
        <v>0</v>
      </c>
      <c r="U18" s="76" t="n">
        <f aca="false">U15+U16-U17</f>
        <v>0</v>
      </c>
      <c r="V18" s="76" t="n">
        <f aca="false">V15+V16-V17</f>
        <v>0</v>
      </c>
      <c r="W18" s="76" t="n">
        <f aca="false">W15+W16-W17</f>
        <v>40950.5297862854</v>
      </c>
      <c r="X18" s="76" t="n">
        <f aca="false">X15+X16-X17</f>
        <v>0</v>
      </c>
      <c r="Y18" s="76" t="n">
        <f aca="false">Y15+Y16-Y17</f>
        <v>-38618.6146399444</v>
      </c>
      <c r="Z18" s="76" t="n">
        <f aca="false">Z15+Z16-Z17</f>
        <v>0</v>
      </c>
      <c r="AA18" s="76" t="n">
        <f aca="false">AA15+AA16-AA17</f>
        <v>0</v>
      </c>
      <c r="AB18" s="76" t="n">
        <f aca="false">AB15+AB16-AB17</f>
        <v>40950.5297862854</v>
      </c>
    </row>
    <row r="19" customFormat="false" ht="15" hidden="false" customHeight="false" outlineLevel="0" collapsed="false">
      <c r="A19" s="59" t="s">
        <v>1495</v>
      </c>
      <c r="B19" s="60" t="s">
        <v>1496</v>
      </c>
      <c r="C19" s="61" t="n">
        <f aca="false">P19</f>
        <v>-79569.1444262298</v>
      </c>
      <c r="D19" s="61" t="n">
        <f aca="false">AB19</f>
        <v>50851.4736552727</v>
      </c>
      <c r="E19" s="62" t="n">
        <f aca="false">Inputs_Actuals!$C$308+E14-E15-E16+E17</f>
        <v>111026.953930409</v>
      </c>
      <c r="F19" s="61" t="n">
        <f aca="false">E19+F14-F15-F16+F17</f>
        <v>119147.95816389</v>
      </c>
      <c r="G19" s="61" t="n">
        <f aca="false">F19+G14-G15-G16+G17</f>
        <v>131938.117430209</v>
      </c>
      <c r="H19" s="61" t="n">
        <f aca="false">G19+H14-H15-H16+H17</f>
        <v>147415.093859617</v>
      </c>
      <c r="I19" s="61" t="n">
        <f aca="false">H19+I14-I15-I16+I17</f>
        <v>158721.900624032</v>
      </c>
      <c r="J19" s="61" t="n">
        <f aca="false">I19+J14-J15-J16+J17</f>
        <v>53045.2658252359</v>
      </c>
      <c r="K19" s="61" t="n">
        <f aca="false">J19+K14-K15-K16+K17</f>
        <v>-8242.12458072729</v>
      </c>
      <c r="L19" s="61" t="n">
        <f aca="false">K19+L14-L15-L16+L17</f>
        <v>-419.643457813538</v>
      </c>
      <c r="M19" s="61" t="n">
        <f aca="false">L19+M14-M15-M16+M17</f>
        <v>-56186.3623468133</v>
      </c>
      <c r="N19" s="61" t="n">
        <f aca="false">M19+N14-N15-N16+N17</f>
        <v>-39806.7043579317</v>
      </c>
      <c r="O19" s="61" t="n">
        <f aca="false">N19+O14-O15-O16+O17</f>
        <v>-24635.9071617753</v>
      </c>
      <c r="P19" s="61" t="n">
        <f aca="false">O19+P14-P15-P16+P17</f>
        <v>-79569.1444262298</v>
      </c>
      <c r="Q19" s="61" t="n">
        <f aca="false">P19+Q14-Q15-Q16+Q17</f>
        <v>-70531.0330796006</v>
      </c>
      <c r="R19" s="61" t="n">
        <f aca="false">Q19+R14-R15-R16+R17</f>
        <v>-57647.5885743048</v>
      </c>
      <c r="S19" s="61" t="n">
        <f aca="false">R19+S14-S15-S16+S17</f>
        <v>-44701.0841638378</v>
      </c>
      <c r="T19" s="61" t="n">
        <f aca="false">S19+T14-T15-T16+T17</f>
        <v>-30161.8157632379</v>
      </c>
      <c r="U19" s="61" t="n">
        <f aca="false">T19+U14-U15-U16+U17</f>
        <v>-17803.8807036319</v>
      </c>
      <c r="V19" s="61" t="n">
        <f aca="false">U19+V14-V15-V16+V17</f>
        <v>-1123.85075703779</v>
      </c>
      <c r="W19" s="61" t="n">
        <f aca="false">V19+W14-W15-W16+W17</f>
        <v>-26804.2789838038</v>
      </c>
      <c r="X19" s="61" t="n">
        <f aca="false">W19+X14-X15-X16+X17</f>
        <v>-15375.5705984883</v>
      </c>
      <c r="Y19" s="61" t="n">
        <f aca="false">X19+Y14-Y15-Y16+Y17</f>
        <v>40139.2810038359</v>
      </c>
      <c r="Z19" s="61" t="n">
        <f aca="false">Y19+Z14-Z15-Z16+Z17</f>
        <v>57724.9783634544</v>
      </c>
      <c r="AA19" s="61" t="n">
        <f aca="false">Z19+AA14-AA15-AA16+AA17</f>
        <v>74218.8743949476</v>
      </c>
      <c r="AB19" s="61" t="n">
        <f aca="false">AA19+AB14-AB15-AB16+AB17</f>
        <v>50851.4736552727</v>
      </c>
    </row>
    <row r="20" customFormat="false" ht="15" hidden="false" customHeight="false" outlineLevel="0" collapsed="false">
      <c r="A20" s="27" t="s">
        <v>1497</v>
      </c>
      <c r="B20" s="63" t="s">
        <v>1498</v>
      </c>
      <c r="C20" s="129" t="n">
        <f aca="false">Assumptions!$C$28*Assumptions!$C$27/3</f>
        <v>73084.5925</v>
      </c>
    </row>
    <row r="21" customFormat="false" ht="15" hidden="false" customHeight="false" outlineLevel="0" collapsed="false">
      <c r="A21" s="27" t="s">
        <v>1499</v>
      </c>
      <c r="B21" s="63" t="s">
        <v>1498</v>
      </c>
      <c r="C21" s="129" t="n">
        <f aca="false">MAX(0,MIN(Assumptions!$C$28*Assumptions!$C$27/3,Tax!$C$11-Tax!K15-Tax!M15))</f>
        <v>0</v>
      </c>
    </row>
    <row r="22" customFormat="false" ht="15" hidden="false" customHeight="false" outlineLevel="0" collapsed="false">
      <c r="A22" s="27" t="s">
        <v>1500</v>
      </c>
      <c r="B22" s="63" t="s">
        <v>1498</v>
      </c>
      <c r="C22" s="129" t="n">
        <f aca="false">Tax!$C$20-Tax!$C$21</f>
        <v>73084.5925</v>
      </c>
    </row>
    <row r="23" customFormat="false" ht="15" hidden="false" customHeight="false" outlineLevel="0" collapsed="false">
      <c r="A23" s="27" t="s">
        <v>1501</v>
      </c>
      <c r="B23" s="63"/>
      <c r="C23" s="65" t="n">
        <f aca="false">P23</f>
        <v>0.202106249292251</v>
      </c>
      <c r="D23" s="65" t="n">
        <f aca="false">AB23</f>
        <v>0.193330508639701</v>
      </c>
      <c r="E23" s="64" t="n">
        <f aca="false">IF(SUMIFS(Tax!$E$8:$AB$8,Assumptions!$E$203:$AB$203,Assumptions!E$203,Assumptions!$E$201:$AB$201,"&lt;="&amp;Assumptions!E$201)&lt;=0,0,E13/SUMIFS(Tax!$E$8:$AB$8,Assumptions!$E$203:$AB$203,Assumptions!E$203,Assumptions!$E$201:$AB$201,"&lt;="&amp;Assumptions!E$201))</f>
        <v>0.165</v>
      </c>
      <c r="F23" s="64" t="n">
        <f aca="false">IF(SUMIFS(Tax!$E$8:$AB$8,Assumptions!$E$203:$AB$203,Assumptions!F$203,Assumptions!$E$201:$AB$201,"&lt;="&amp;Assumptions!F$201)&lt;=0,0,F13/SUMIFS(Tax!$E$8:$AB$8,Assumptions!$E$203:$AB$203,Assumptions!F$203,Assumptions!$E$201:$AB$201,"&lt;="&amp;Assumptions!F$201))</f>
        <v>0.178367973439473</v>
      </c>
      <c r="G23" s="64" t="n">
        <f aca="false">IF(SUMIFS(Tax!$E$8:$AB$8,Assumptions!$E$203:$AB$203,Assumptions!G$203,Assumptions!$E$201:$AB$201,"&lt;="&amp;Assumptions!G$201)&lt;=0,0,G13/SUMIFS(Tax!$E$8:$AB$8,Assumptions!$E$203:$AB$203,Assumptions!G$203,Assumptions!$E$201:$AB$201,"&lt;="&amp;Assumptions!G$201))</f>
        <v>0.190453336529511</v>
      </c>
      <c r="H23" s="64" t="n">
        <f aca="false">IF(SUMIFS(Tax!$E$8:$AB$8,Assumptions!$E$203:$AB$203,Assumptions!H$203,Assumptions!$E$201:$AB$201,"&lt;="&amp;Assumptions!H$201)&lt;=0,0,H13/SUMIFS(Tax!$E$8:$AB$8,Assumptions!$E$203:$AB$203,Assumptions!H$203,Assumptions!$E$201:$AB$201,"&lt;="&amp;Assumptions!H$201))</f>
        <v>0.195609712266509</v>
      </c>
      <c r="I23" s="64" t="n">
        <f aca="false">IF(SUMIFS(Tax!$E$8:$AB$8,Assumptions!$E$203:$AB$203,Assumptions!I$203,Assumptions!$E$201:$AB$201,"&lt;="&amp;Assumptions!I$201)&lt;=0,0,I13/SUMIFS(Tax!$E$8:$AB$8,Assumptions!$E$203:$AB$203,Assumptions!I$203,Assumptions!$E$201:$AB$201,"&lt;="&amp;Assumptions!I$201))</f>
        <v>0.197541242466282</v>
      </c>
      <c r="J23" s="64" t="n">
        <f aca="false">IF(SUMIFS(Tax!$E$8:$AB$8,Assumptions!$E$203:$AB$203,Assumptions!J$203,Assumptions!$E$201:$AB$201,"&lt;="&amp;Assumptions!J$201)&lt;=0,0,J13/SUMIFS(Tax!$E$8:$AB$8,Assumptions!$E$203:$AB$203,Assumptions!J$203,Assumptions!$E$201:$AB$201,"&lt;="&amp;Assumptions!J$201))</f>
        <v>0.197551584703002</v>
      </c>
      <c r="K23" s="64" t="n">
        <f aca="false">IF(SUMIFS(Tax!$E$8:$AB$8,Assumptions!$E$203:$AB$203,Assumptions!K$203,Assumptions!$E$201:$AB$201,"&lt;="&amp;Assumptions!K$201)&lt;=0,0,K13/SUMIFS(Tax!$E$8:$AB$8,Assumptions!$E$203:$AB$203,Assumptions!K$203,Assumptions!$E$201:$AB$201,"&lt;="&amp;Assumptions!K$201))</f>
        <v>0.19886617478233</v>
      </c>
      <c r="L23" s="64" t="n">
        <f aca="false">IF(SUMIFS(Tax!$E$8:$AB$8,Assumptions!$E$203:$AB$203,Assumptions!L$203,Assumptions!$E$201:$AB$201,"&lt;="&amp;Assumptions!L$201)&lt;=0,0,L13/SUMIFS(Tax!$E$8:$AB$8,Assumptions!$E$203:$AB$203,Assumptions!L$203,Assumptions!$E$201:$AB$201,"&lt;="&amp;Assumptions!L$201))</f>
        <v>0.199508802068607</v>
      </c>
      <c r="M23" s="64" t="n">
        <f aca="false">IF(SUMIFS(Tax!$E$8:$AB$8,Assumptions!$E$203:$AB$203,Assumptions!M$203,Assumptions!$E$201:$AB$201,"&lt;="&amp;Assumptions!M$201)&lt;=0,0,M13/SUMIFS(Tax!$E$8:$AB$8,Assumptions!$E$203:$AB$203,Assumptions!M$203,Assumptions!$E$201:$AB$201,"&lt;="&amp;Assumptions!M$201))</f>
        <v>0.200542645905864</v>
      </c>
      <c r="N23" s="64" t="n">
        <f aca="false">IF(SUMIFS(Tax!$E$8:$AB$8,Assumptions!$E$203:$AB$203,Assumptions!N$203,Assumptions!$E$201:$AB$201,"&lt;="&amp;Assumptions!N$201)&lt;=0,0,N13/SUMIFS(Tax!$E$8:$AB$8,Assumptions!$E$203:$AB$203,Assumptions!N$203,Assumptions!$E$201:$AB$201,"&lt;="&amp;Assumptions!N$201))</f>
        <v>0.201216402512847</v>
      </c>
      <c r="O23" s="64" t="n">
        <f aca="false">IF(SUMIFS(Tax!$E$8:$AB$8,Assumptions!$E$203:$AB$203,Assumptions!O$203,Assumptions!$E$201:$AB$201,"&lt;="&amp;Assumptions!O$201)&lt;=0,0,O13/SUMIFS(Tax!$E$8:$AB$8,Assumptions!$E$203:$AB$203,Assumptions!O$203,Assumptions!$E$201:$AB$201,"&lt;="&amp;Assumptions!O$201))</f>
        <v>0.201681056186056</v>
      </c>
      <c r="P23" s="64" t="n">
        <f aca="false">IF(SUMIFS(Tax!$E$8:$AB$8,Assumptions!$E$203:$AB$203,Assumptions!P$203,Assumptions!$E$201:$AB$201,"&lt;="&amp;Assumptions!P$201)&lt;=0,0,P13/SUMIFS(Tax!$E$8:$AB$8,Assumptions!$E$203:$AB$203,Assumptions!P$203,Assumptions!$E$201:$AB$201,"&lt;="&amp;Assumptions!P$201))</f>
        <v>0.202106249292251</v>
      </c>
      <c r="Q23" s="64" t="n">
        <f aca="false">IF(SUMIFS(Tax!$E$8:$AB$8,Assumptions!$E$203:$AB$203,Assumptions!Q$203,Assumptions!$E$201:$AB$201,"&lt;="&amp;Assumptions!Q$201)&lt;=0,0,Q13/SUMIFS(Tax!$E$8:$AB$8,Assumptions!$E$203:$AB$203,Assumptions!Q$203,Assumptions!$E$201:$AB$201,"&lt;="&amp;Assumptions!Q$201))</f>
        <v>0.167243603205658</v>
      </c>
      <c r="R23" s="64" t="n">
        <f aca="false">IF(SUMIFS(Tax!$E$8:$AB$8,Assumptions!$E$203:$AB$203,Assumptions!R$203,Assumptions!$E$201:$AB$201,"&lt;="&amp;Assumptions!R$201)&lt;=0,0,R13/SUMIFS(Tax!$E$8:$AB$8,Assumptions!$E$203:$AB$203,Assumptions!R$203,Assumptions!$E$201:$AB$201,"&lt;="&amp;Assumptions!R$201))</f>
        <v>0.182511504280534</v>
      </c>
      <c r="S23" s="64" t="n">
        <f aca="false">IF(SUMIFS(Tax!$E$8:$AB$8,Assumptions!$E$203:$AB$203,Assumptions!S$203,Assumptions!$E$201:$AB$201,"&lt;="&amp;Assumptions!S$201)&lt;=0,0,S13/SUMIFS(Tax!$E$8:$AB$8,Assumptions!$E$203:$AB$203,Assumptions!S$203,Assumptions!$E$201:$AB$201,"&lt;="&amp;Assumptions!S$201))</f>
        <v>0.186957228461193</v>
      </c>
      <c r="T23" s="64" t="n">
        <f aca="false">IF(SUMIFS(Tax!$E$8:$AB$8,Assumptions!$E$203:$AB$203,Assumptions!T$203,Assumptions!$E$201:$AB$201,"&lt;="&amp;Assumptions!T$201)&lt;=0,0,T13/SUMIFS(Tax!$E$8:$AB$8,Assumptions!$E$203:$AB$203,Assumptions!T$203,Assumptions!$E$201:$AB$201,"&lt;="&amp;Assumptions!T$201))</f>
        <v>0.18925426539396</v>
      </c>
      <c r="U23" s="64" t="n">
        <f aca="false">IF(SUMIFS(Tax!$E$8:$AB$8,Assumptions!$E$203:$AB$203,Assumptions!U$203,Assumptions!$E$201:$AB$201,"&lt;="&amp;Assumptions!U$201)&lt;=0,0,U13/SUMIFS(Tax!$E$8:$AB$8,Assumptions!$E$203:$AB$203,Assumptions!U$203,Assumptions!$E$201:$AB$201,"&lt;="&amp;Assumptions!U$201))</f>
        <v>0.19037660980467</v>
      </c>
      <c r="V23" s="64" t="n">
        <f aca="false">IF(SUMIFS(Tax!$E$8:$AB$8,Assumptions!$E$203:$AB$203,Assumptions!V$203,Assumptions!$E$201:$AB$201,"&lt;="&amp;Assumptions!V$201)&lt;=0,0,V13/SUMIFS(Tax!$E$8:$AB$8,Assumptions!$E$203:$AB$203,Assumptions!V$203,Assumptions!$E$201:$AB$201,"&lt;="&amp;Assumptions!V$201))</f>
        <v>0.191341248038811</v>
      </c>
      <c r="W23" s="64" t="n">
        <f aca="false">IF(SUMIFS(Tax!$E$8:$AB$8,Assumptions!$E$203:$AB$203,Assumptions!W$203,Assumptions!$E$201:$AB$201,"&lt;="&amp;Assumptions!W$201)&lt;=0,0,W13/SUMIFS(Tax!$E$8:$AB$8,Assumptions!$E$203:$AB$203,Assumptions!W$203,Assumptions!$E$201:$AB$201,"&lt;="&amp;Assumptions!W$201))</f>
        <v>0.191928017792738</v>
      </c>
      <c r="X23" s="64" t="n">
        <f aca="false">IF(SUMIFS(Tax!$E$8:$AB$8,Assumptions!$E$203:$AB$203,Assumptions!X$203,Assumptions!$E$201:$AB$201,"&lt;="&amp;Assumptions!X$201)&lt;=0,0,X13/SUMIFS(Tax!$E$8:$AB$8,Assumptions!$E$203:$AB$203,Assumptions!X$203,Assumptions!$E$201:$AB$201,"&lt;="&amp;Assumptions!X$201))</f>
        <v>0.192257232326143</v>
      </c>
      <c r="Y23" s="64" t="n">
        <f aca="false">IF(SUMIFS(Tax!$E$8:$AB$8,Assumptions!$E$203:$AB$203,Assumptions!Y$203,Assumptions!$E$201:$AB$201,"&lt;="&amp;Assumptions!Y$201)&lt;=0,0,Y13/SUMIFS(Tax!$E$8:$AB$8,Assumptions!$E$203:$AB$203,Assumptions!Y$203,Assumptions!$E$201:$AB$201,"&lt;="&amp;Assumptions!Y$201))</f>
        <v>0.192632352326088</v>
      </c>
      <c r="Z23" s="64" t="n">
        <f aca="false">IF(SUMIFS(Tax!$E$8:$AB$8,Assumptions!$E$203:$AB$203,Assumptions!Z$203,Assumptions!$E$201:$AB$201,"&lt;="&amp;Assumptions!Z$201)&lt;=0,0,Z13/SUMIFS(Tax!$E$8:$AB$8,Assumptions!$E$203:$AB$203,Assumptions!Z$203,Assumptions!$E$201:$AB$201,"&lt;="&amp;Assumptions!Z$201))</f>
        <v>0.192927384596933</v>
      </c>
      <c r="AA23" s="64" t="n">
        <f aca="false">IF(SUMIFS(Tax!$E$8:$AB$8,Assumptions!$E$203:$AB$203,Assumptions!AA$203,Assumptions!$E$201:$AB$201,"&lt;="&amp;Assumptions!AA$201)&lt;=0,0,AA13/SUMIFS(Tax!$E$8:$AB$8,Assumptions!$E$203:$AB$203,Assumptions!AA$203,Assumptions!$E$201:$AB$201,"&lt;="&amp;Assumptions!AA$201))</f>
        <v>0.193144270254165</v>
      </c>
      <c r="AB23" s="64" t="n">
        <f aca="false">IF(SUMIFS(Tax!$E$8:$AB$8,Assumptions!$E$203:$AB$203,Assumptions!AB$203,Assumptions!$E$201:$AB$201,"&lt;="&amp;Assumptions!AB$201)&lt;=0,0,AB13/SUMIFS(Tax!$E$8:$AB$8,Assumptions!$E$203:$AB$203,Assumptions!AB$203,Assumptions!$E$201:$AB$201,"&lt;="&amp;Assumptions!AB$201))</f>
        <v>0.193330508639701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1502</v>
      </c>
    </row>
    <row r="3" customFormat="false" ht="15" hidden="false" customHeight="false" outlineLevel="0" collapsed="false">
      <c r="A3" s="50" t="s">
        <v>1503</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1504</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1505</v>
      </c>
      <c r="B9" s="63" t="s">
        <v>1506</v>
      </c>
      <c r="C9" s="66" t="n">
        <f aca="false">SUM(E9:P9)</f>
        <v>126000</v>
      </c>
      <c r="D9" s="66" t="n">
        <f aca="false">SUM(Q9:AB9)</f>
        <v>129150</v>
      </c>
      <c r="E9" s="67" t="n">
        <f aca="false">IF(E$5="A",Inputs_Actuals!E245,Assumptions!$C$152*Assumptions!E$208)</f>
        <v>10500</v>
      </c>
      <c r="F9" s="67" t="n">
        <f aca="false">IF(F$5="A",Inputs_Actuals!F245,Assumptions!$C$152*Assumptions!F$208)</f>
        <v>10500</v>
      </c>
      <c r="G9" s="67" t="n">
        <f aca="false">IF(G$5="A",Inputs_Actuals!G245,Assumptions!$C$152*Assumptions!G$208)</f>
        <v>10500</v>
      </c>
      <c r="H9" s="67" t="n">
        <f aca="false">IF(H$5="A",Inputs_Actuals!H245,Assumptions!$C$152*Assumptions!H$208)</f>
        <v>10500</v>
      </c>
      <c r="I9" s="67" t="n">
        <f aca="false">IF(I$5="A",Inputs_Actuals!I245,Assumptions!$C$152*Assumptions!I$208)</f>
        <v>10500</v>
      </c>
      <c r="J9" s="67" t="n">
        <f aca="false">IF(J$5="A",Inputs_Actuals!J245,Assumptions!$C$152*Assumptions!J$208)</f>
        <v>10500</v>
      </c>
      <c r="K9" s="67" t="n">
        <f aca="false">IF(K$5="A",Inputs_Actuals!K245,Assumptions!$C$152*Assumptions!K$208)</f>
        <v>10500</v>
      </c>
      <c r="L9" s="67" t="n">
        <f aca="false">IF(L$5="A",Inputs_Actuals!L245,Assumptions!$C$152*Assumptions!L$208)</f>
        <v>10500</v>
      </c>
      <c r="M9" s="67" t="n">
        <f aca="false">IF(M$5="A",Inputs_Actuals!M245,Assumptions!$C$152*Assumptions!M$208)</f>
        <v>10500</v>
      </c>
      <c r="N9" s="67" t="n">
        <f aca="false">IF(N$5="A",Inputs_Actuals!N245,Assumptions!$C$152*Assumptions!N$208)</f>
        <v>10500</v>
      </c>
      <c r="O9" s="67" t="n">
        <f aca="false">IF(O$5="A",Inputs_Actuals!O245,Assumptions!$C$152*Assumptions!O$208)</f>
        <v>10500</v>
      </c>
      <c r="P9" s="67" t="n">
        <f aca="false">IF(P$5="A",Inputs_Actuals!P245,Assumptions!$C$152*Assumptions!P$208)</f>
        <v>10500</v>
      </c>
      <c r="Q9" s="67" t="n">
        <f aca="false">IF(Q$5="A",Inputs_Actuals!Q245,Assumptions!$C$152*Assumptions!Q$208)</f>
        <v>10762.5</v>
      </c>
      <c r="R9" s="67" t="n">
        <f aca="false">IF(R$5="A",Inputs_Actuals!R245,Assumptions!$C$152*Assumptions!R$208)</f>
        <v>10762.5</v>
      </c>
      <c r="S9" s="67" t="n">
        <f aca="false">IF(S$5="A",Inputs_Actuals!S245,Assumptions!$C$152*Assumptions!S$208)</f>
        <v>10762.5</v>
      </c>
      <c r="T9" s="67" t="n">
        <f aca="false">IF(T$5="A",Inputs_Actuals!T245,Assumptions!$C$152*Assumptions!T$208)</f>
        <v>10762.5</v>
      </c>
      <c r="U9" s="67" t="n">
        <f aca="false">IF(U$5="A",Inputs_Actuals!U245,Assumptions!$C$152*Assumptions!U$208)</f>
        <v>10762.5</v>
      </c>
      <c r="V9" s="67" t="n">
        <f aca="false">IF(V$5="A",Inputs_Actuals!V245,Assumptions!$C$152*Assumptions!V$208)</f>
        <v>10762.5</v>
      </c>
      <c r="W9" s="67" t="n">
        <f aca="false">IF(W$5="A",Inputs_Actuals!W245,Assumptions!$C$152*Assumptions!W$208)</f>
        <v>10762.5</v>
      </c>
      <c r="X9" s="67" t="n">
        <f aca="false">IF(X$5="A",Inputs_Actuals!X245,Assumptions!$C$152*Assumptions!X$208)</f>
        <v>10762.5</v>
      </c>
      <c r="Y9" s="67" t="n">
        <f aca="false">IF(Y$5="A",Inputs_Actuals!Y245,Assumptions!$C$152*Assumptions!Y$208)</f>
        <v>10762.5</v>
      </c>
      <c r="Z9" s="67" t="n">
        <f aca="false">IF(Z$5="A",Inputs_Actuals!Z245,Assumptions!$C$152*Assumptions!Z$208)</f>
        <v>10762.5</v>
      </c>
      <c r="AA9" s="67" t="n">
        <f aca="false">IF(AA$5="A",Inputs_Actuals!AA245,Assumptions!$C$152*Assumptions!AA$208)</f>
        <v>10762.5</v>
      </c>
      <c r="AB9" s="67" t="n">
        <f aca="false">IF(AB$5="A",Inputs_Actuals!AB245,Assumptions!$C$152*Assumptions!AB$208)</f>
        <v>10762.5</v>
      </c>
    </row>
    <row r="10" customFormat="false" ht="15" hidden="false" customHeight="false" outlineLevel="0" collapsed="false">
      <c r="A10" s="27" t="s">
        <v>427</v>
      </c>
      <c r="B10" s="63" t="s">
        <v>1507</v>
      </c>
      <c r="C10" s="66" t="n">
        <f aca="false">SUM(E10:P10)</f>
        <v>57778.99</v>
      </c>
      <c r="D10" s="66" t="n">
        <f aca="false">SUM(Q10:AB10)</f>
        <v>58892.4</v>
      </c>
      <c r="E10" s="67" t="n">
        <f aca="false">IF(E$5="A",Inputs_Actuals!E246,Assumptions!$C$153*Assumptions!E$208*IF(Assumptions!E$204=3,2.4,0.87))</f>
        <v>4238.97</v>
      </c>
      <c r="F10" s="67" t="n">
        <f aca="false">IF(F$5="A",Inputs_Actuals!F246,Assumptions!$C$153*Assumptions!F$208*IF(Assumptions!F$204=3,2.4,0.87))</f>
        <v>4194.22</v>
      </c>
      <c r="G10" s="67" t="n">
        <f aca="false">IF(G$5="A",Inputs_Actuals!G246,Assumptions!$C$153*Assumptions!G$208*IF(Assumptions!G$204=3,2.4,0.87))</f>
        <v>12151.32</v>
      </c>
      <c r="H10" s="67" t="n">
        <f aca="false">IF(H$5="A",Inputs_Actuals!H246,Assumptions!$C$153*Assumptions!H$208*IF(Assumptions!H$204=3,2.4,0.87))</f>
        <v>4122.45</v>
      </c>
      <c r="I10" s="67" t="n">
        <f aca="false">IF(I$5="A",Inputs_Actuals!I246,Assumptions!$C$153*Assumptions!I$208*IF(Assumptions!I$204=3,2.4,0.87))</f>
        <v>4050.77</v>
      </c>
      <c r="J10" s="67" t="n">
        <f aca="false">IF(J$5="A",Inputs_Actuals!J246,Assumptions!$C$153*Assumptions!J$208*IF(Assumptions!J$204=3,2.4,0.87))</f>
        <v>4306.92</v>
      </c>
      <c r="K10" s="67" t="n">
        <f aca="false">IF(K$5="A",Inputs_Actuals!K246,Assumptions!$C$153*Assumptions!K$208*IF(Assumptions!K$204=3,2.4,0.87))</f>
        <v>3980.83</v>
      </c>
      <c r="L10" s="67" t="n">
        <f aca="false">IF(L$5="A",Inputs_Actuals!L246,Assumptions!$C$153*Assumptions!L$208*IF(Assumptions!L$204=3,2.4,0.87))</f>
        <v>4029.51</v>
      </c>
      <c r="M10" s="67" t="n">
        <f aca="false">IF(M$5="A",Inputs_Actuals!M246,Assumptions!$C$153*Assumptions!M$208*IF(Assumptions!M$204=3,2.4,0.87))</f>
        <v>4176</v>
      </c>
      <c r="N10" s="67" t="n">
        <f aca="false">IF(N$5="A",Inputs_Actuals!N246,Assumptions!$C$153*Assumptions!N$208*IF(Assumptions!N$204=3,2.4,0.87))</f>
        <v>4176</v>
      </c>
      <c r="O10" s="67" t="n">
        <f aca="false">IF(O$5="A",Inputs_Actuals!O246,Assumptions!$C$153*Assumptions!O$208*IF(Assumptions!O$204=3,2.4,0.87))</f>
        <v>4176</v>
      </c>
      <c r="P10" s="67" t="n">
        <f aca="false">IF(P$5="A",Inputs_Actuals!P246,Assumptions!$C$153*Assumptions!P$208*IF(Assumptions!P$204=3,2.4,0.87))</f>
        <v>4176</v>
      </c>
      <c r="Q10" s="67" t="n">
        <f aca="false">IF(Q$5="A",Inputs_Actuals!Q246,Assumptions!$C$153*Assumptions!Q$208*IF(Assumptions!Q$204=3,2.4,0.87))</f>
        <v>4280.4</v>
      </c>
      <c r="R10" s="67" t="n">
        <f aca="false">IF(R$5="A",Inputs_Actuals!R246,Assumptions!$C$153*Assumptions!R$208*IF(Assumptions!R$204=3,2.4,0.87))</f>
        <v>4280.4</v>
      </c>
      <c r="S10" s="67" t="n">
        <f aca="false">IF(S$5="A",Inputs_Actuals!S246,Assumptions!$C$153*Assumptions!S$208*IF(Assumptions!S$204=3,2.4,0.87))</f>
        <v>11808</v>
      </c>
      <c r="T10" s="67" t="n">
        <f aca="false">IF(T$5="A",Inputs_Actuals!T246,Assumptions!$C$153*Assumptions!T$208*IF(Assumptions!T$204=3,2.4,0.87))</f>
        <v>4280.4</v>
      </c>
      <c r="U10" s="67" t="n">
        <f aca="false">IF(U$5="A",Inputs_Actuals!U246,Assumptions!$C$153*Assumptions!U$208*IF(Assumptions!U$204=3,2.4,0.87))</f>
        <v>4280.4</v>
      </c>
      <c r="V10" s="67" t="n">
        <f aca="false">IF(V$5="A",Inputs_Actuals!V246,Assumptions!$C$153*Assumptions!V$208*IF(Assumptions!V$204=3,2.4,0.87))</f>
        <v>4280.4</v>
      </c>
      <c r="W10" s="67" t="n">
        <f aca="false">IF(W$5="A",Inputs_Actuals!W246,Assumptions!$C$153*Assumptions!W$208*IF(Assumptions!W$204=3,2.4,0.87))</f>
        <v>4280.4</v>
      </c>
      <c r="X10" s="67" t="n">
        <f aca="false">IF(X$5="A",Inputs_Actuals!X246,Assumptions!$C$153*Assumptions!X$208*IF(Assumptions!X$204=3,2.4,0.87))</f>
        <v>4280.4</v>
      </c>
      <c r="Y10" s="67" t="n">
        <f aca="false">IF(Y$5="A",Inputs_Actuals!Y246,Assumptions!$C$153*Assumptions!Y$208*IF(Assumptions!Y$204=3,2.4,0.87))</f>
        <v>4280.4</v>
      </c>
      <c r="Z10" s="67" t="n">
        <f aca="false">IF(Z$5="A",Inputs_Actuals!Z246,Assumptions!$C$153*Assumptions!Z$208*IF(Assumptions!Z$204=3,2.4,0.87))</f>
        <v>4280.4</v>
      </c>
      <c r="AA10" s="67" t="n">
        <f aca="false">IF(AA$5="A",Inputs_Actuals!AA246,Assumptions!$C$153*Assumptions!AA$208*IF(Assumptions!AA$204=3,2.4,0.87))</f>
        <v>4280.4</v>
      </c>
      <c r="AB10" s="67" t="n">
        <f aca="false">IF(AB$5="A",Inputs_Actuals!AB246,Assumptions!$C$153*Assumptions!AB$208*IF(Assumptions!AB$204=3,2.4,0.87))</f>
        <v>4280.4</v>
      </c>
    </row>
    <row r="11" customFormat="false" ht="15" hidden="false" customHeight="false" outlineLevel="0" collapsed="false">
      <c r="A11" s="27" t="s">
        <v>1508</v>
      </c>
      <c r="B11" s="63" t="s">
        <v>1506</v>
      </c>
      <c r="C11" s="66" t="n">
        <f aca="false">SUM(E11:P11)</f>
        <v>22800</v>
      </c>
      <c r="D11" s="66" t="n">
        <f aca="false">SUM(Q11:AB11)</f>
        <v>23370</v>
      </c>
      <c r="E11" s="67" t="n">
        <f aca="false">IF(E$5="A",Inputs_Actuals!E247,Assumptions!$C$154*Assumptions!E$208)</f>
        <v>1900</v>
      </c>
      <c r="F11" s="67" t="n">
        <f aca="false">IF(F$5="A",Inputs_Actuals!F247,Assumptions!$C$154*Assumptions!F$208)</f>
        <v>1900</v>
      </c>
      <c r="G11" s="67" t="n">
        <f aca="false">IF(G$5="A",Inputs_Actuals!G247,Assumptions!$C$154*Assumptions!G$208)</f>
        <v>1900</v>
      </c>
      <c r="H11" s="67" t="n">
        <f aca="false">IF(H$5="A",Inputs_Actuals!H247,Assumptions!$C$154*Assumptions!H$208)</f>
        <v>1900</v>
      </c>
      <c r="I11" s="67" t="n">
        <f aca="false">IF(I$5="A",Inputs_Actuals!I247,Assumptions!$C$154*Assumptions!I$208)</f>
        <v>1900</v>
      </c>
      <c r="J11" s="67" t="n">
        <f aca="false">IF(J$5="A",Inputs_Actuals!J247,Assumptions!$C$154*Assumptions!J$208)</f>
        <v>1900</v>
      </c>
      <c r="K11" s="67" t="n">
        <f aca="false">IF(K$5="A",Inputs_Actuals!K247,Assumptions!$C$154*Assumptions!K$208)</f>
        <v>1900</v>
      </c>
      <c r="L11" s="67" t="n">
        <f aca="false">IF(L$5="A",Inputs_Actuals!L247,Assumptions!$C$154*Assumptions!L$208)</f>
        <v>1900</v>
      </c>
      <c r="M11" s="67" t="n">
        <f aca="false">IF(M$5="A",Inputs_Actuals!M247,Assumptions!$C$154*Assumptions!M$208)</f>
        <v>1900</v>
      </c>
      <c r="N11" s="67" t="n">
        <f aca="false">IF(N$5="A",Inputs_Actuals!N247,Assumptions!$C$154*Assumptions!N$208)</f>
        <v>1900</v>
      </c>
      <c r="O11" s="67" t="n">
        <f aca="false">IF(O$5="A",Inputs_Actuals!O247,Assumptions!$C$154*Assumptions!O$208)</f>
        <v>1900</v>
      </c>
      <c r="P11" s="67" t="n">
        <f aca="false">IF(P$5="A",Inputs_Actuals!P247,Assumptions!$C$154*Assumptions!P$208)</f>
        <v>1900</v>
      </c>
      <c r="Q11" s="67" t="n">
        <f aca="false">IF(Q$5="A",Inputs_Actuals!Q247,Assumptions!$C$154*Assumptions!Q$208)</f>
        <v>1947.5</v>
      </c>
      <c r="R11" s="67" t="n">
        <f aca="false">IF(R$5="A",Inputs_Actuals!R247,Assumptions!$C$154*Assumptions!R$208)</f>
        <v>1947.5</v>
      </c>
      <c r="S11" s="67" t="n">
        <f aca="false">IF(S$5="A",Inputs_Actuals!S247,Assumptions!$C$154*Assumptions!S$208)</f>
        <v>1947.5</v>
      </c>
      <c r="T11" s="67" t="n">
        <f aca="false">IF(T$5="A",Inputs_Actuals!T247,Assumptions!$C$154*Assumptions!T$208)</f>
        <v>1947.5</v>
      </c>
      <c r="U11" s="67" t="n">
        <f aca="false">IF(U$5="A",Inputs_Actuals!U247,Assumptions!$C$154*Assumptions!U$208)</f>
        <v>1947.5</v>
      </c>
      <c r="V11" s="67" t="n">
        <f aca="false">IF(V$5="A",Inputs_Actuals!V247,Assumptions!$C$154*Assumptions!V$208)</f>
        <v>1947.5</v>
      </c>
      <c r="W11" s="67" t="n">
        <f aca="false">IF(W$5="A",Inputs_Actuals!W247,Assumptions!$C$154*Assumptions!W$208)</f>
        <v>1947.5</v>
      </c>
      <c r="X11" s="67" t="n">
        <f aca="false">IF(X$5="A",Inputs_Actuals!X247,Assumptions!$C$154*Assumptions!X$208)</f>
        <v>1947.5</v>
      </c>
      <c r="Y11" s="67" t="n">
        <f aca="false">IF(Y$5="A",Inputs_Actuals!Y247,Assumptions!$C$154*Assumptions!Y$208)</f>
        <v>1947.5</v>
      </c>
      <c r="Z11" s="67" t="n">
        <f aca="false">IF(Z$5="A",Inputs_Actuals!Z247,Assumptions!$C$154*Assumptions!Z$208)</f>
        <v>1947.5</v>
      </c>
      <c r="AA11" s="67" t="n">
        <f aca="false">IF(AA$5="A",Inputs_Actuals!AA247,Assumptions!$C$154*Assumptions!AA$208)</f>
        <v>1947.5</v>
      </c>
      <c r="AB11" s="67" t="n">
        <f aca="false">IF(AB$5="A",Inputs_Actuals!AB247,Assumptions!$C$154*Assumptions!AB$208)</f>
        <v>1947.5</v>
      </c>
    </row>
    <row r="12" customFormat="false" ht="15" hidden="false" customHeight="false" outlineLevel="0" collapsed="false">
      <c r="A12" s="27" t="s">
        <v>429</v>
      </c>
      <c r="B12" s="63" t="s">
        <v>1507</v>
      </c>
      <c r="C12" s="66" t="n">
        <f aca="false">SUM(E12:P12)</f>
        <v>81168.87</v>
      </c>
      <c r="D12" s="66" t="n">
        <f aca="false">SUM(Q12:AB12)</f>
        <v>83081.375</v>
      </c>
      <c r="E12" s="67" t="n">
        <f aca="false">IF(E$5="A",Inputs_Actuals!E248,Assumptions!$C$155*Assumptions!E$208*IF(OR(Assumptions!E$204=5,Assumptions!E$204=10),1.8,IF(Assumptions!E$204=8,0.5,0.93)))</f>
        <v>5721.45</v>
      </c>
      <c r="F12" s="67" t="n">
        <f aca="false">IF(F$5="A",Inputs_Actuals!F248,Assumptions!$C$155*Assumptions!F$208*IF(OR(Assumptions!F$204=5,Assumptions!F$204=10),1.8,IF(Assumptions!F$204=8,0.5,0.93)))</f>
        <v>6104.26</v>
      </c>
      <c r="G12" s="67" t="n">
        <f aca="false">IF(G$5="A",Inputs_Actuals!G248,Assumptions!$C$155*Assumptions!G$208*IF(OR(Assumptions!G$204=5,Assumptions!G$204=10),1.8,IF(Assumptions!G$204=8,0.5,0.93)))</f>
        <v>6356.46</v>
      </c>
      <c r="H12" s="67" t="n">
        <f aca="false">IF(H$5="A",Inputs_Actuals!H248,Assumptions!$C$155*Assumptions!H$208*IF(OR(Assumptions!H$204=5,Assumptions!H$204=10),1.8,IF(Assumptions!H$204=8,0.5,0.93)))</f>
        <v>6204.67</v>
      </c>
      <c r="I12" s="67" t="n">
        <f aca="false">IF(I$5="A",Inputs_Actuals!I248,Assumptions!$C$155*Assumptions!I$208*IF(OR(Assumptions!I$204=5,Assumptions!I$204=10),1.8,IF(Assumptions!I$204=8,0.5,0.93)))</f>
        <v>11651.5</v>
      </c>
      <c r="J12" s="67" t="n">
        <f aca="false">IF(J$5="A",Inputs_Actuals!J248,Assumptions!$C$155*Assumptions!J$208*IF(OR(Assumptions!J$204=5,Assumptions!J$204=10),1.8,IF(Assumptions!J$204=8,0.5,0.93)))</f>
        <v>6129.67</v>
      </c>
      <c r="K12" s="67" t="n">
        <f aca="false">IF(K$5="A",Inputs_Actuals!K248,Assumptions!$C$155*Assumptions!K$208*IF(OR(Assumptions!K$204=5,Assumptions!K$204=10),1.8,IF(Assumptions!K$204=8,0.5,0.93)))</f>
        <v>5939.39</v>
      </c>
      <c r="L12" s="67" t="n">
        <f aca="false">IF(L$5="A",Inputs_Actuals!L248,Assumptions!$C$155*Assumptions!L$208*IF(OR(Assumptions!L$204=5,Assumptions!L$204=10),1.8,IF(Assumptions!L$204=8,0.5,0.93)))</f>
        <v>3226.47</v>
      </c>
      <c r="M12" s="67" t="n">
        <f aca="false">IF(M$5="A",Inputs_Actuals!M248,Assumptions!$C$155*Assumptions!M$208*IF(OR(Assumptions!M$204=5,Assumptions!M$204=10),1.8,IF(Assumptions!M$204=8,0.5,0.93)))</f>
        <v>6045</v>
      </c>
      <c r="N12" s="67" t="n">
        <f aca="false">IF(N$5="A",Inputs_Actuals!N248,Assumptions!$C$155*Assumptions!N$208*IF(OR(Assumptions!N$204=5,Assumptions!N$204=10),1.8,IF(Assumptions!N$204=8,0.5,0.93)))</f>
        <v>11700</v>
      </c>
      <c r="O12" s="67" t="n">
        <f aca="false">IF(O$5="A",Inputs_Actuals!O248,Assumptions!$C$155*Assumptions!O$208*IF(OR(Assumptions!O$204=5,Assumptions!O$204=10),1.8,IF(Assumptions!O$204=8,0.5,0.93)))</f>
        <v>6045</v>
      </c>
      <c r="P12" s="67" t="n">
        <f aca="false">IF(P$5="A",Inputs_Actuals!P248,Assumptions!$C$155*Assumptions!P$208*IF(OR(Assumptions!P$204=5,Assumptions!P$204=10),1.8,IF(Assumptions!P$204=8,0.5,0.93)))</f>
        <v>6045</v>
      </c>
      <c r="Q12" s="67" t="n">
        <f aca="false">IF(Q$5="A",Inputs_Actuals!Q248,Assumptions!$C$155*Assumptions!Q$208*IF(OR(Assumptions!Q$204=5,Assumptions!Q$204=10),1.8,IF(Assumptions!Q$204=8,0.5,0.93)))</f>
        <v>6196.125</v>
      </c>
      <c r="R12" s="67" t="n">
        <f aca="false">IF(R$5="A",Inputs_Actuals!R248,Assumptions!$C$155*Assumptions!R$208*IF(OR(Assumptions!R$204=5,Assumptions!R$204=10),1.8,IF(Assumptions!R$204=8,0.5,0.93)))</f>
        <v>6196.125</v>
      </c>
      <c r="S12" s="67" t="n">
        <f aca="false">IF(S$5="A",Inputs_Actuals!S248,Assumptions!$C$155*Assumptions!S$208*IF(OR(Assumptions!S$204=5,Assumptions!S$204=10),1.8,IF(Assumptions!S$204=8,0.5,0.93)))</f>
        <v>6196.125</v>
      </c>
      <c r="T12" s="67" t="n">
        <f aca="false">IF(T$5="A",Inputs_Actuals!T248,Assumptions!$C$155*Assumptions!T$208*IF(OR(Assumptions!T$204=5,Assumptions!T$204=10),1.8,IF(Assumptions!T$204=8,0.5,0.93)))</f>
        <v>6196.125</v>
      </c>
      <c r="U12" s="67" t="n">
        <f aca="false">IF(U$5="A",Inputs_Actuals!U248,Assumptions!$C$155*Assumptions!U$208*IF(OR(Assumptions!U$204=5,Assumptions!U$204=10),1.8,IF(Assumptions!U$204=8,0.5,0.93)))</f>
        <v>11992.5</v>
      </c>
      <c r="V12" s="67" t="n">
        <f aca="false">IF(V$5="A",Inputs_Actuals!V248,Assumptions!$C$155*Assumptions!V$208*IF(OR(Assumptions!V$204=5,Assumptions!V$204=10),1.8,IF(Assumptions!V$204=8,0.5,0.93)))</f>
        <v>6196.125</v>
      </c>
      <c r="W12" s="67" t="n">
        <f aca="false">IF(W$5="A",Inputs_Actuals!W248,Assumptions!$C$155*Assumptions!W$208*IF(OR(Assumptions!W$204=5,Assumptions!W$204=10),1.8,IF(Assumptions!W$204=8,0.5,0.93)))</f>
        <v>6196.125</v>
      </c>
      <c r="X12" s="67" t="n">
        <f aca="false">IF(X$5="A",Inputs_Actuals!X248,Assumptions!$C$155*Assumptions!X$208*IF(OR(Assumptions!X$204=5,Assumptions!X$204=10),1.8,IF(Assumptions!X$204=8,0.5,0.93)))</f>
        <v>3331.25</v>
      </c>
      <c r="Y12" s="67" t="n">
        <f aca="false">IF(Y$5="A",Inputs_Actuals!Y248,Assumptions!$C$155*Assumptions!Y$208*IF(OR(Assumptions!Y$204=5,Assumptions!Y$204=10),1.8,IF(Assumptions!Y$204=8,0.5,0.93)))</f>
        <v>6196.125</v>
      </c>
      <c r="Z12" s="67" t="n">
        <f aca="false">IF(Z$5="A",Inputs_Actuals!Z248,Assumptions!$C$155*Assumptions!Z$208*IF(OR(Assumptions!Z$204=5,Assumptions!Z$204=10),1.8,IF(Assumptions!Z$204=8,0.5,0.93)))</f>
        <v>11992.5</v>
      </c>
      <c r="AA12" s="67" t="n">
        <f aca="false">IF(AA$5="A",Inputs_Actuals!AA248,Assumptions!$C$155*Assumptions!AA$208*IF(OR(Assumptions!AA$204=5,Assumptions!AA$204=10),1.8,IF(Assumptions!AA$204=8,0.5,0.93)))</f>
        <v>6196.125</v>
      </c>
      <c r="AB12" s="67" t="n">
        <f aca="false">IF(AB$5="A",Inputs_Actuals!AB248,Assumptions!$C$155*Assumptions!AB$208*IF(OR(Assumptions!AB$204=5,Assumptions!AB$204=10),1.8,IF(Assumptions!AB$204=8,0.5,0.93)))</f>
        <v>6196.125</v>
      </c>
    </row>
    <row r="13" customFormat="false" ht="15" hidden="false" customHeight="false" outlineLevel="0" collapsed="false">
      <c r="A13" s="27" t="s">
        <v>430</v>
      </c>
      <c r="B13" s="63" t="s">
        <v>1507</v>
      </c>
      <c r="C13" s="66" t="n">
        <f aca="false">SUM(E13:P13)</f>
        <v>45455.42</v>
      </c>
      <c r="D13" s="66" t="n">
        <f aca="false">SUM(Q13:AB13)</f>
        <v>46740</v>
      </c>
      <c r="E13" s="67" t="n">
        <f aca="false">IF(E$5="A",Inputs_Actuals!E249,Assumptions!$C$156*Assumptions!E$208)</f>
        <v>3760.19</v>
      </c>
      <c r="F13" s="67" t="n">
        <f aca="false">IF(F$5="A",Inputs_Actuals!F249,Assumptions!$C$156*Assumptions!F$208)</f>
        <v>3786.21</v>
      </c>
      <c r="G13" s="67" t="n">
        <f aca="false">IF(G$5="A",Inputs_Actuals!G249,Assumptions!$C$156*Assumptions!G$208)</f>
        <v>3761.17</v>
      </c>
      <c r="H13" s="67" t="n">
        <f aca="false">IF(H$5="A",Inputs_Actuals!H249,Assumptions!$C$156*Assumptions!H$208)</f>
        <v>3893.49</v>
      </c>
      <c r="I13" s="67" t="n">
        <f aca="false">IF(I$5="A",Inputs_Actuals!I249,Assumptions!$C$156*Assumptions!I$208)</f>
        <v>3796.58</v>
      </c>
      <c r="J13" s="67" t="n">
        <f aca="false">IF(J$5="A",Inputs_Actuals!J249,Assumptions!$C$156*Assumptions!J$208)</f>
        <v>3623.46</v>
      </c>
      <c r="K13" s="67" t="n">
        <f aca="false">IF(K$5="A",Inputs_Actuals!K249,Assumptions!$C$156*Assumptions!K$208)</f>
        <v>3822.18</v>
      </c>
      <c r="L13" s="67" t="n">
        <f aca="false">IF(L$5="A",Inputs_Actuals!L249,Assumptions!$C$156*Assumptions!L$208)</f>
        <v>3812.14</v>
      </c>
      <c r="M13" s="67" t="n">
        <f aca="false">IF(M$5="A",Inputs_Actuals!M249,Assumptions!$C$156*Assumptions!M$208)</f>
        <v>3800</v>
      </c>
      <c r="N13" s="67" t="n">
        <f aca="false">IF(N$5="A",Inputs_Actuals!N249,Assumptions!$C$156*Assumptions!N$208)</f>
        <v>3800</v>
      </c>
      <c r="O13" s="67" t="n">
        <f aca="false">IF(O$5="A",Inputs_Actuals!O249,Assumptions!$C$156*Assumptions!O$208)</f>
        <v>3800</v>
      </c>
      <c r="P13" s="67" t="n">
        <f aca="false">IF(P$5="A",Inputs_Actuals!P249,Assumptions!$C$156*Assumptions!P$208)</f>
        <v>3800</v>
      </c>
      <c r="Q13" s="67" t="n">
        <f aca="false">IF(Q$5="A",Inputs_Actuals!Q249,Assumptions!$C$156*Assumptions!Q$208)</f>
        <v>3895</v>
      </c>
      <c r="R13" s="67" t="n">
        <f aca="false">IF(R$5="A",Inputs_Actuals!R249,Assumptions!$C$156*Assumptions!R$208)</f>
        <v>3895</v>
      </c>
      <c r="S13" s="67" t="n">
        <f aca="false">IF(S$5="A",Inputs_Actuals!S249,Assumptions!$C$156*Assumptions!S$208)</f>
        <v>3895</v>
      </c>
      <c r="T13" s="67" t="n">
        <f aca="false">IF(T$5="A",Inputs_Actuals!T249,Assumptions!$C$156*Assumptions!T$208)</f>
        <v>3895</v>
      </c>
      <c r="U13" s="67" t="n">
        <f aca="false">IF(U$5="A",Inputs_Actuals!U249,Assumptions!$C$156*Assumptions!U$208)</f>
        <v>3895</v>
      </c>
      <c r="V13" s="67" t="n">
        <f aca="false">IF(V$5="A",Inputs_Actuals!V249,Assumptions!$C$156*Assumptions!V$208)</f>
        <v>3895</v>
      </c>
      <c r="W13" s="67" t="n">
        <f aca="false">IF(W$5="A",Inputs_Actuals!W249,Assumptions!$C$156*Assumptions!W$208)</f>
        <v>3895</v>
      </c>
      <c r="X13" s="67" t="n">
        <f aca="false">IF(X$5="A",Inputs_Actuals!X249,Assumptions!$C$156*Assumptions!X$208)</f>
        <v>3895</v>
      </c>
      <c r="Y13" s="67" t="n">
        <f aca="false">IF(Y$5="A",Inputs_Actuals!Y249,Assumptions!$C$156*Assumptions!Y$208)</f>
        <v>3895</v>
      </c>
      <c r="Z13" s="67" t="n">
        <f aca="false">IF(Z$5="A",Inputs_Actuals!Z249,Assumptions!$C$156*Assumptions!Z$208)</f>
        <v>3895</v>
      </c>
      <c r="AA13" s="67" t="n">
        <f aca="false">IF(AA$5="A",Inputs_Actuals!AA249,Assumptions!$C$156*Assumptions!AA$208)</f>
        <v>3895</v>
      </c>
      <c r="AB13" s="67" t="n">
        <f aca="false">IF(AB$5="A",Inputs_Actuals!AB249,Assumptions!$C$156*Assumptions!AB$208)</f>
        <v>3895</v>
      </c>
    </row>
    <row r="14" customFormat="false" ht="15" hidden="false" customHeight="false" outlineLevel="0" collapsed="false">
      <c r="A14" s="27" t="s">
        <v>431</v>
      </c>
      <c r="B14" s="63" t="s">
        <v>1507</v>
      </c>
      <c r="C14" s="66" t="n">
        <f aca="false">SUM(E14:P14)</f>
        <v>27528.1709722222</v>
      </c>
      <c r="D14" s="66" t="n">
        <f aca="false">SUM(Q14:AB14)</f>
        <v>41046.7559870157</v>
      </c>
      <c r="E14" s="67" t="n">
        <f aca="false">IF(E$5="A",Inputs_Actuals!E250,Assumptions!$C$157*Assumptions!E$208+People!E185)</f>
        <v>404.52</v>
      </c>
      <c r="F14" s="67" t="n">
        <f aca="false">IF(F$5="A",Inputs_Actuals!F250,Assumptions!$C$157*Assumptions!F$208+People!F185)</f>
        <v>2528.86</v>
      </c>
      <c r="G14" s="67" t="n">
        <f aca="false">IF(G$5="A",Inputs_Actuals!G250,Assumptions!$C$157*Assumptions!G$208+People!G185)</f>
        <v>2601.49</v>
      </c>
      <c r="H14" s="67" t="n">
        <f aca="false">IF(H$5="A",Inputs_Actuals!H250,Assumptions!$C$157*Assumptions!H$208+People!H185)</f>
        <v>387.16</v>
      </c>
      <c r="I14" s="67" t="n">
        <f aca="false">IF(I$5="A",Inputs_Actuals!I250,Assumptions!$C$157*Assumptions!I$208+People!I185)</f>
        <v>399.43</v>
      </c>
      <c r="J14" s="67" t="n">
        <f aca="false">IF(J$5="A",Inputs_Actuals!J250,Assumptions!$C$157*Assumptions!J$208+People!J185)</f>
        <v>2520.56</v>
      </c>
      <c r="K14" s="67" t="n">
        <f aca="false">IF(K$5="A",Inputs_Actuals!K250,Assumptions!$C$157*Assumptions!K$208+People!K185)</f>
        <v>2643.47</v>
      </c>
      <c r="L14" s="67" t="n">
        <f aca="false">IF(L$5="A",Inputs_Actuals!L250,Assumptions!$C$157*Assumptions!L$208+People!L185)</f>
        <v>397.58</v>
      </c>
      <c r="M14" s="67" t="n">
        <f aca="false">IF(M$5="A",Inputs_Actuals!M250,Assumptions!$C$157*Assumptions!M$208+People!M185)</f>
        <v>400</v>
      </c>
      <c r="N14" s="67" t="n">
        <f aca="false">IF(N$5="A",Inputs_Actuals!N250,Assumptions!$C$157*Assumptions!N$208+People!N185)</f>
        <v>7000</v>
      </c>
      <c r="O14" s="67" t="n">
        <f aca="false">IF(O$5="A",Inputs_Actuals!O250,Assumptions!$C$157*Assumptions!O$208+People!O185)</f>
        <v>6330.83333333333</v>
      </c>
      <c r="P14" s="67" t="n">
        <f aca="false">IF(P$5="A",Inputs_Actuals!P250,Assumptions!$C$157*Assumptions!P$208+People!P185)</f>
        <v>1914.26763888889</v>
      </c>
      <c r="Q14" s="67" t="n">
        <f aca="false">IF(Q$5="A",Inputs_Actuals!Q250,Assumptions!$C$157*Assumptions!Q$208+People!Q185)</f>
        <v>10784.8872957176</v>
      </c>
      <c r="R14" s="67" t="n">
        <f aca="false">IF(R$5="A",Inputs_Actuals!R250,Assumptions!$C$157*Assumptions!R$208+People!R185)</f>
        <v>2035.69088243702</v>
      </c>
      <c r="S14" s="67" t="n">
        <f aca="false">IF(S$5="A",Inputs_Actuals!S250,Assumptions!$C$157*Assumptions!S$208+People!S185)</f>
        <v>4234.3831690186</v>
      </c>
      <c r="T14" s="67" t="n">
        <f aca="false">IF(T$5="A",Inputs_Actuals!T250,Assumptions!$C$157*Assumptions!T$208+People!T185)</f>
        <v>4330.97252272862</v>
      </c>
      <c r="U14" s="67" t="n">
        <f aca="false">IF(U$5="A",Inputs_Actuals!U250,Assumptions!$C$157*Assumptions!U$208+People!U185)</f>
        <v>2129.89914326903</v>
      </c>
      <c r="V14" s="67" t="n">
        <f aca="false">IF(V$5="A",Inputs_Actuals!V250,Assumptions!$C$157*Assumptions!V$208+People!V185)</f>
        <v>4354.48942763392</v>
      </c>
      <c r="W14" s="67" t="n">
        <f aca="false">IF(W$5="A",Inputs_Actuals!W250,Assumptions!$C$157*Assumptions!W$208+People!W185)</f>
        <v>2179.88128524583</v>
      </c>
      <c r="X14" s="67" t="n">
        <f aca="false">IF(X$5="A",Inputs_Actuals!X250,Assumptions!$C$157*Assumptions!X$208+People!X185)</f>
        <v>2179.29793945579</v>
      </c>
      <c r="Y14" s="67" t="n">
        <f aca="false">IF(Y$5="A",Inputs_Actuals!Y250,Assumptions!$C$157*Assumptions!Y$208+People!Y185)</f>
        <v>2204.67517551168</v>
      </c>
      <c r="Z14" s="67" t="n">
        <f aca="false">IF(Z$5="A",Inputs_Actuals!Z250,Assumptions!$C$157*Assumptions!Z$208+People!Z185)</f>
        <v>2204.3859141768</v>
      </c>
      <c r="AA14" s="67" t="n">
        <f aca="false">IF(AA$5="A",Inputs_Actuals!AA250,Assumptions!$C$157*Assumptions!AA$208+People!AA185)</f>
        <v>2204.09322117335</v>
      </c>
      <c r="AB14" s="67" t="n">
        <f aca="false">IF(AB$5="A",Inputs_Actuals!AB250,Assumptions!$C$157*Assumptions!AB$208+People!AB185)</f>
        <v>2204.10001064744</v>
      </c>
    </row>
    <row r="15" customFormat="false" ht="15" hidden="false" customHeight="false" outlineLevel="0" collapsed="false">
      <c r="A15" s="27" t="s">
        <v>1509</v>
      </c>
      <c r="B15" s="63" t="s">
        <v>1506</v>
      </c>
      <c r="C15" s="66" t="n">
        <f aca="false">SUM(E15:P15)</f>
        <v>38540.99</v>
      </c>
      <c r="D15" s="66" t="n">
        <f aca="false">SUM(Q15:AB15)</f>
        <v>39360</v>
      </c>
      <c r="E15" s="67" t="n">
        <f aca="false">IF(E$5="A",Inputs_Actuals!E251,Assumptions!$C$158*Assumptions!E$208)</f>
        <v>3255.03</v>
      </c>
      <c r="F15" s="67" t="n">
        <f aca="false">IF(F$5="A",Inputs_Actuals!F251,Assumptions!$C$158*Assumptions!F$208)</f>
        <v>3233.46</v>
      </c>
      <c r="G15" s="67" t="n">
        <f aca="false">IF(G$5="A",Inputs_Actuals!G251,Assumptions!$C$158*Assumptions!G$208)</f>
        <v>3246.93</v>
      </c>
      <c r="H15" s="67" t="n">
        <f aca="false">IF(H$5="A",Inputs_Actuals!H251,Assumptions!$C$158*Assumptions!H$208)</f>
        <v>3103.37</v>
      </c>
      <c r="I15" s="67" t="n">
        <f aca="false">IF(I$5="A",Inputs_Actuals!I251,Assumptions!$C$158*Assumptions!I$208)</f>
        <v>3316.44</v>
      </c>
      <c r="J15" s="67" t="n">
        <f aca="false">IF(J$5="A",Inputs_Actuals!J251,Assumptions!$C$158*Assumptions!J$208)</f>
        <v>3255.01</v>
      </c>
      <c r="K15" s="67" t="n">
        <f aca="false">IF(K$5="A",Inputs_Actuals!K251,Assumptions!$C$158*Assumptions!K$208)</f>
        <v>3174.36</v>
      </c>
      <c r="L15" s="67" t="n">
        <f aca="false">IF(L$5="A",Inputs_Actuals!L251,Assumptions!$C$158*Assumptions!L$208)</f>
        <v>3156.39</v>
      </c>
      <c r="M15" s="67" t="n">
        <f aca="false">IF(M$5="A",Inputs_Actuals!M251,Assumptions!$C$158*Assumptions!M$208)</f>
        <v>3200</v>
      </c>
      <c r="N15" s="67" t="n">
        <f aca="false">IF(N$5="A",Inputs_Actuals!N251,Assumptions!$C$158*Assumptions!N$208)</f>
        <v>3200</v>
      </c>
      <c r="O15" s="67" t="n">
        <f aca="false">IF(O$5="A",Inputs_Actuals!O251,Assumptions!$C$158*Assumptions!O$208)</f>
        <v>3200</v>
      </c>
      <c r="P15" s="67" t="n">
        <f aca="false">IF(P$5="A",Inputs_Actuals!P251,Assumptions!$C$158*Assumptions!P$208)</f>
        <v>3200</v>
      </c>
      <c r="Q15" s="67" t="n">
        <f aca="false">IF(Q$5="A",Inputs_Actuals!Q251,Assumptions!$C$158*Assumptions!Q$208)</f>
        <v>3280</v>
      </c>
      <c r="R15" s="67" t="n">
        <f aca="false">IF(R$5="A",Inputs_Actuals!R251,Assumptions!$C$158*Assumptions!R$208)</f>
        <v>3280</v>
      </c>
      <c r="S15" s="67" t="n">
        <f aca="false">IF(S$5="A",Inputs_Actuals!S251,Assumptions!$C$158*Assumptions!S$208)</f>
        <v>3280</v>
      </c>
      <c r="T15" s="67" t="n">
        <f aca="false">IF(T$5="A",Inputs_Actuals!T251,Assumptions!$C$158*Assumptions!T$208)</f>
        <v>3280</v>
      </c>
      <c r="U15" s="67" t="n">
        <f aca="false">IF(U$5="A",Inputs_Actuals!U251,Assumptions!$C$158*Assumptions!U$208)</f>
        <v>3280</v>
      </c>
      <c r="V15" s="67" t="n">
        <f aca="false">IF(V$5="A",Inputs_Actuals!V251,Assumptions!$C$158*Assumptions!V$208)</f>
        <v>3280</v>
      </c>
      <c r="W15" s="67" t="n">
        <f aca="false">IF(W$5="A",Inputs_Actuals!W251,Assumptions!$C$158*Assumptions!W$208)</f>
        <v>3280</v>
      </c>
      <c r="X15" s="67" t="n">
        <f aca="false">IF(X$5="A",Inputs_Actuals!X251,Assumptions!$C$158*Assumptions!X$208)</f>
        <v>3280</v>
      </c>
      <c r="Y15" s="67" t="n">
        <f aca="false">IF(Y$5="A",Inputs_Actuals!Y251,Assumptions!$C$158*Assumptions!Y$208)</f>
        <v>3280</v>
      </c>
      <c r="Z15" s="67" t="n">
        <f aca="false">IF(Z$5="A",Inputs_Actuals!Z251,Assumptions!$C$158*Assumptions!Z$208)</f>
        <v>3280</v>
      </c>
      <c r="AA15" s="67" t="n">
        <f aca="false">IF(AA$5="A",Inputs_Actuals!AA251,Assumptions!$C$158*Assumptions!AA$208)</f>
        <v>3280</v>
      </c>
      <c r="AB15" s="67" t="n">
        <f aca="false">IF(AB$5="A",Inputs_Actuals!AB251,Assumptions!$C$158*Assumptions!AB$208)</f>
        <v>3280</v>
      </c>
    </row>
    <row r="16" customFormat="false" ht="15" hidden="false" customHeight="false" outlineLevel="0" collapsed="false">
      <c r="A16" s="27" t="s">
        <v>433</v>
      </c>
      <c r="B16" s="63" t="s">
        <v>1507</v>
      </c>
      <c r="C16" s="66" t="n">
        <f aca="false">SUM(E16:P16)</f>
        <v>50352.73</v>
      </c>
      <c r="D16" s="66" t="n">
        <f aca="false">SUM(Q16:AB16)</f>
        <v>51660</v>
      </c>
      <c r="E16" s="67" t="n">
        <f aca="false">IF(E$5="A",Inputs_Actuals!E252,Assumptions!$C$159*Assumptions!E$208)</f>
        <v>4317.95</v>
      </c>
      <c r="F16" s="67" t="n">
        <f aca="false">IF(F$5="A",Inputs_Actuals!F252,Assumptions!$C$159*Assumptions!F$208)</f>
        <v>4386.24</v>
      </c>
      <c r="G16" s="67" t="n">
        <f aca="false">IF(G$5="A",Inputs_Actuals!G252,Assumptions!$C$159*Assumptions!G$208)</f>
        <v>4056.41</v>
      </c>
      <c r="H16" s="67" t="n">
        <f aca="false">IF(H$5="A",Inputs_Actuals!H252,Assumptions!$C$159*Assumptions!H$208)</f>
        <v>3876.23</v>
      </c>
      <c r="I16" s="67" t="n">
        <f aca="false">IF(I$5="A",Inputs_Actuals!I252,Assumptions!$C$159*Assumptions!I$208)</f>
        <v>4219.65</v>
      </c>
      <c r="J16" s="67" t="n">
        <f aca="false">IF(J$5="A",Inputs_Actuals!J252,Assumptions!$C$159*Assumptions!J$208)</f>
        <v>4256.38</v>
      </c>
      <c r="K16" s="67" t="n">
        <f aca="false">IF(K$5="A",Inputs_Actuals!K252,Assumptions!$C$159*Assumptions!K$208)</f>
        <v>4126.14</v>
      </c>
      <c r="L16" s="67" t="n">
        <f aca="false">IF(L$5="A",Inputs_Actuals!L252,Assumptions!$C$159*Assumptions!L$208)</f>
        <v>4313.73</v>
      </c>
      <c r="M16" s="67" t="n">
        <f aca="false">IF(M$5="A",Inputs_Actuals!M252,Assumptions!$C$159*Assumptions!M$208)</f>
        <v>4200</v>
      </c>
      <c r="N16" s="67" t="n">
        <f aca="false">IF(N$5="A",Inputs_Actuals!N252,Assumptions!$C$159*Assumptions!N$208)</f>
        <v>4200</v>
      </c>
      <c r="O16" s="67" t="n">
        <f aca="false">IF(O$5="A",Inputs_Actuals!O252,Assumptions!$C$159*Assumptions!O$208)</f>
        <v>4200</v>
      </c>
      <c r="P16" s="67" t="n">
        <f aca="false">IF(P$5="A",Inputs_Actuals!P252,Assumptions!$C$159*Assumptions!P$208)</f>
        <v>4200</v>
      </c>
      <c r="Q16" s="67" t="n">
        <f aca="false">IF(Q$5="A",Inputs_Actuals!Q252,Assumptions!$C$159*Assumptions!Q$208)</f>
        <v>4305</v>
      </c>
      <c r="R16" s="67" t="n">
        <f aca="false">IF(R$5="A",Inputs_Actuals!R252,Assumptions!$C$159*Assumptions!R$208)</f>
        <v>4305</v>
      </c>
      <c r="S16" s="67" t="n">
        <f aca="false">IF(S$5="A",Inputs_Actuals!S252,Assumptions!$C$159*Assumptions!S$208)</f>
        <v>4305</v>
      </c>
      <c r="T16" s="67" t="n">
        <f aca="false">IF(T$5="A",Inputs_Actuals!T252,Assumptions!$C$159*Assumptions!T$208)</f>
        <v>4305</v>
      </c>
      <c r="U16" s="67" t="n">
        <f aca="false">IF(U$5="A",Inputs_Actuals!U252,Assumptions!$C$159*Assumptions!U$208)</f>
        <v>4305</v>
      </c>
      <c r="V16" s="67" t="n">
        <f aca="false">IF(V$5="A",Inputs_Actuals!V252,Assumptions!$C$159*Assumptions!V$208)</f>
        <v>4305</v>
      </c>
      <c r="W16" s="67" t="n">
        <f aca="false">IF(W$5="A",Inputs_Actuals!W252,Assumptions!$C$159*Assumptions!W$208)</f>
        <v>4305</v>
      </c>
      <c r="X16" s="67" t="n">
        <f aca="false">IF(X$5="A",Inputs_Actuals!X252,Assumptions!$C$159*Assumptions!X$208)</f>
        <v>4305</v>
      </c>
      <c r="Y16" s="67" t="n">
        <f aca="false">IF(Y$5="A",Inputs_Actuals!Y252,Assumptions!$C$159*Assumptions!Y$208)</f>
        <v>4305</v>
      </c>
      <c r="Z16" s="67" t="n">
        <f aca="false">IF(Z$5="A",Inputs_Actuals!Z252,Assumptions!$C$159*Assumptions!Z$208)</f>
        <v>4305</v>
      </c>
      <c r="AA16" s="67" t="n">
        <f aca="false">IF(AA$5="A",Inputs_Actuals!AA252,Assumptions!$C$159*Assumptions!AA$208)</f>
        <v>4305</v>
      </c>
      <c r="AB16" s="67" t="n">
        <f aca="false">IF(AB$5="A",Inputs_Actuals!AB252,Assumptions!$C$159*Assumptions!AB$208)</f>
        <v>4305</v>
      </c>
    </row>
    <row r="17" customFormat="false" ht="15" hidden="false" customHeight="false" outlineLevel="0" collapsed="false">
      <c r="A17" s="27" t="s">
        <v>434</v>
      </c>
      <c r="B17" s="63" t="s">
        <v>1507</v>
      </c>
      <c r="C17" s="66" t="n">
        <f aca="false">SUM(E17:P17)</f>
        <v>32721.74</v>
      </c>
      <c r="D17" s="66" t="n">
        <f aca="false">SUM(Q17:AB17)</f>
        <v>33210</v>
      </c>
      <c r="E17" s="67" t="n">
        <f aca="false">IF(E$5="A",Inputs_Actuals!E253,Assumptions!$C$160*Assumptions!E$208)</f>
        <v>2842.61</v>
      </c>
      <c r="F17" s="67" t="n">
        <f aca="false">IF(F$5="A",Inputs_Actuals!F253,Assumptions!$C$160*Assumptions!F$208)</f>
        <v>2764.22</v>
      </c>
      <c r="G17" s="67" t="n">
        <f aca="false">IF(G$5="A",Inputs_Actuals!G253,Assumptions!$C$160*Assumptions!G$208)</f>
        <v>2772.09</v>
      </c>
      <c r="H17" s="67" t="n">
        <f aca="false">IF(H$5="A",Inputs_Actuals!H253,Assumptions!$C$160*Assumptions!H$208)</f>
        <v>2659.64</v>
      </c>
      <c r="I17" s="67" t="n">
        <f aca="false">IF(I$5="A",Inputs_Actuals!I253,Assumptions!$C$160*Assumptions!I$208)</f>
        <v>2737.06</v>
      </c>
      <c r="J17" s="67" t="n">
        <f aca="false">IF(J$5="A",Inputs_Actuals!J253,Assumptions!$C$160*Assumptions!J$208)</f>
        <v>2713.85</v>
      </c>
      <c r="K17" s="67" t="n">
        <f aca="false">IF(K$5="A",Inputs_Actuals!K253,Assumptions!$C$160*Assumptions!K$208)</f>
        <v>2662.66</v>
      </c>
      <c r="L17" s="67" t="n">
        <f aca="false">IF(L$5="A",Inputs_Actuals!L253,Assumptions!$C$160*Assumptions!L$208)</f>
        <v>2769.61</v>
      </c>
      <c r="M17" s="67" t="n">
        <f aca="false">IF(M$5="A",Inputs_Actuals!M253,Assumptions!$C$160*Assumptions!M$208)</f>
        <v>2700</v>
      </c>
      <c r="N17" s="67" t="n">
        <f aca="false">IF(N$5="A",Inputs_Actuals!N253,Assumptions!$C$160*Assumptions!N$208)</f>
        <v>2700</v>
      </c>
      <c r="O17" s="67" t="n">
        <f aca="false">IF(O$5="A",Inputs_Actuals!O253,Assumptions!$C$160*Assumptions!O$208)</f>
        <v>2700</v>
      </c>
      <c r="P17" s="67" t="n">
        <f aca="false">IF(P$5="A",Inputs_Actuals!P253,Assumptions!$C$160*Assumptions!P$208)</f>
        <v>2700</v>
      </c>
      <c r="Q17" s="67" t="n">
        <f aca="false">IF(Q$5="A",Inputs_Actuals!Q253,Assumptions!$C$160*Assumptions!Q$208)</f>
        <v>2767.5</v>
      </c>
      <c r="R17" s="67" t="n">
        <f aca="false">IF(R$5="A",Inputs_Actuals!R253,Assumptions!$C$160*Assumptions!R$208)</f>
        <v>2767.5</v>
      </c>
      <c r="S17" s="67" t="n">
        <f aca="false">IF(S$5="A",Inputs_Actuals!S253,Assumptions!$C$160*Assumptions!S$208)</f>
        <v>2767.5</v>
      </c>
      <c r="T17" s="67" t="n">
        <f aca="false">IF(T$5="A",Inputs_Actuals!T253,Assumptions!$C$160*Assumptions!T$208)</f>
        <v>2767.5</v>
      </c>
      <c r="U17" s="67" t="n">
        <f aca="false">IF(U$5="A",Inputs_Actuals!U253,Assumptions!$C$160*Assumptions!U$208)</f>
        <v>2767.5</v>
      </c>
      <c r="V17" s="67" t="n">
        <f aca="false">IF(V$5="A",Inputs_Actuals!V253,Assumptions!$C$160*Assumptions!V$208)</f>
        <v>2767.5</v>
      </c>
      <c r="W17" s="67" t="n">
        <f aca="false">IF(W$5="A",Inputs_Actuals!W253,Assumptions!$C$160*Assumptions!W$208)</f>
        <v>2767.5</v>
      </c>
      <c r="X17" s="67" t="n">
        <f aca="false">IF(X$5="A",Inputs_Actuals!X253,Assumptions!$C$160*Assumptions!X$208)</f>
        <v>2767.5</v>
      </c>
      <c r="Y17" s="67" t="n">
        <f aca="false">IF(Y$5="A",Inputs_Actuals!Y253,Assumptions!$C$160*Assumptions!Y$208)</f>
        <v>2767.5</v>
      </c>
      <c r="Z17" s="67" t="n">
        <f aca="false">IF(Z$5="A",Inputs_Actuals!Z253,Assumptions!$C$160*Assumptions!Z$208)</f>
        <v>2767.5</v>
      </c>
      <c r="AA17" s="67" t="n">
        <f aca="false">IF(AA$5="A",Inputs_Actuals!AA253,Assumptions!$C$160*Assumptions!AA$208)</f>
        <v>2767.5</v>
      </c>
      <c r="AB17" s="67" t="n">
        <f aca="false">IF(AB$5="A",Inputs_Actuals!AB253,Assumptions!$C$160*Assumptions!AB$208)</f>
        <v>2767.5</v>
      </c>
    </row>
    <row r="18" customFormat="false" ht="15" hidden="false" customHeight="false" outlineLevel="0" collapsed="false">
      <c r="A18" s="27" t="s">
        <v>435</v>
      </c>
      <c r="B18" s="63" t="s">
        <v>1506</v>
      </c>
      <c r="C18" s="66" t="n">
        <f aca="false">SUM(E18:P18)</f>
        <v>5338.16</v>
      </c>
      <c r="D18" s="66" t="n">
        <f aca="false">SUM(Q18:AB18)</f>
        <v>5535</v>
      </c>
      <c r="E18" s="67" t="n">
        <f aca="false">IF(E$5="A",Inputs_Actuals!E254,Assumptions!$C$161*Assumptions!E$208)</f>
        <v>425.58</v>
      </c>
      <c r="F18" s="67" t="n">
        <f aca="false">IF(F$5="A",Inputs_Actuals!F254,Assumptions!$C$161*Assumptions!F$208)</f>
        <v>453.22</v>
      </c>
      <c r="G18" s="67" t="n">
        <f aca="false">IF(G$5="A",Inputs_Actuals!G254,Assumptions!$C$161*Assumptions!G$208)</f>
        <v>441.7</v>
      </c>
      <c r="H18" s="67" t="n">
        <f aca="false">IF(H$5="A",Inputs_Actuals!H254,Assumptions!$C$161*Assumptions!H$208)</f>
        <v>436.67</v>
      </c>
      <c r="I18" s="67" t="n">
        <f aca="false">IF(I$5="A",Inputs_Actuals!I254,Assumptions!$C$161*Assumptions!I$208)</f>
        <v>451.04</v>
      </c>
      <c r="J18" s="67" t="n">
        <f aca="false">IF(J$5="A",Inputs_Actuals!J254,Assumptions!$C$161*Assumptions!J$208)</f>
        <v>454.52</v>
      </c>
      <c r="K18" s="67" t="n">
        <f aca="false">IF(K$5="A",Inputs_Actuals!K254,Assumptions!$C$161*Assumptions!K$208)</f>
        <v>427.67</v>
      </c>
      <c r="L18" s="67" t="n">
        <f aca="false">IF(L$5="A",Inputs_Actuals!L254,Assumptions!$C$161*Assumptions!L$208)</f>
        <v>447.76</v>
      </c>
      <c r="M18" s="67" t="n">
        <f aca="false">IF(M$5="A",Inputs_Actuals!M254,Assumptions!$C$161*Assumptions!M$208)</f>
        <v>450</v>
      </c>
      <c r="N18" s="67" t="n">
        <f aca="false">IF(N$5="A",Inputs_Actuals!N254,Assumptions!$C$161*Assumptions!N$208)</f>
        <v>450</v>
      </c>
      <c r="O18" s="67" t="n">
        <f aca="false">IF(O$5="A",Inputs_Actuals!O254,Assumptions!$C$161*Assumptions!O$208)</f>
        <v>450</v>
      </c>
      <c r="P18" s="67" t="n">
        <f aca="false">IF(P$5="A",Inputs_Actuals!P254,Assumptions!$C$161*Assumptions!P$208)</f>
        <v>450</v>
      </c>
      <c r="Q18" s="67" t="n">
        <f aca="false">IF(Q$5="A",Inputs_Actuals!Q254,Assumptions!$C$161*Assumptions!Q$208)</f>
        <v>461.25</v>
      </c>
      <c r="R18" s="67" t="n">
        <f aca="false">IF(R$5="A",Inputs_Actuals!R254,Assumptions!$C$161*Assumptions!R$208)</f>
        <v>461.25</v>
      </c>
      <c r="S18" s="67" t="n">
        <f aca="false">IF(S$5="A",Inputs_Actuals!S254,Assumptions!$C$161*Assumptions!S$208)</f>
        <v>461.25</v>
      </c>
      <c r="T18" s="67" t="n">
        <f aca="false">IF(T$5="A",Inputs_Actuals!T254,Assumptions!$C$161*Assumptions!T$208)</f>
        <v>461.25</v>
      </c>
      <c r="U18" s="67" t="n">
        <f aca="false">IF(U$5="A",Inputs_Actuals!U254,Assumptions!$C$161*Assumptions!U$208)</f>
        <v>461.25</v>
      </c>
      <c r="V18" s="67" t="n">
        <f aca="false">IF(V$5="A",Inputs_Actuals!V254,Assumptions!$C$161*Assumptions!V$208)</f>
        <v>461.25</v>
      </c>
      <c r="W18" s="67" t="n">
        <f aca="false">IF(W$5="A",Inputs_Actuals!W254,Assumptions!$C$161*Assumptions!W$208)</f>
        <v>461.25</v>
      </c>
      <c r="X18" s="67" t="n">
        <f aca="false">IF(X$5="A",Inputs_Actuals!X254,Assumptions!$C$161*Assumptions!X$208)</f>
        <v>461.25</v>
      </c>
      <c r="Y18" s="67" t="n">
        <f aca="false">IF(Y$5="A",Inputs_Actuals!Y254,Assumptions!$C$161*Assumptions!Y$208)</f>
        <v>461.25</v>
      </c>
      <c r="Z18" s="67" t="n">
        <f aca="false">IF(Z$5="A",Inputs_Actuals!Z254,Assumptions!$C$161*Assumptions!Z$208)</f>
        <v>461.25</v>
      </c>
      <c r="AA18" s="67" t="n">
        <f aca="false">IF(AA$5="A",Inputs_Actuals!AA254,Assumptions!$C$161*Assumptions!AA$208)</f>
        <v>461.25</v>
      </c>
      <c r="AB18" s="67" t="n">
        <f aca="false">IF(AB$5="A",Inputs_Actuals!AB254,Assumptions!$C$161*Assumptions!AB$208)</f>
        <v>461.25</v>
      </c>
    </row>
    <row r="19" customFormat="false" ht="15" hidden="false" customHeight="false" outlineLevel="0" collapsed="false">
      <c r="A19" s="59" t="s">
        <v>1510</v>
      </c>
      <c r="B19" s="60"/>
      <c r="C19" s="61" t="n">
        <f aca="false">SUM(E19:P19)</f>
        <v>487685.070972222</v>
      </c>
      <c r="D19" s="61" t="n">
        <f aca="false">SUM(Q19:AB19)</f>
        <v>512045.530987016</v>
      </c>
      <c r="E19" s="61" t="n">
        <f aca="false">SUM(E9:E18)</f>
        <v>37366.3</v>
      </c>
      <c r="F19" s="61" t="n">
        <f aca="false">SUM(F9:F18)</f>
        <v>39850.69</v>
      </c>
      <c r="G19" s="61" t="n">
        <f aca="false">SUM(G9:G18)</f>
        <v>47787.57</v>
      </c>
      <c r="H19" s="61" t="n">
        <f aca="false">SUM(H9:H18)</f>
        <v>37083.68</v>
      </c>
      <c r="I19" s="61" t="n">
        <f aca="false">SUM(I9:I18)</f>
        <v>43022.47</v>
      </c>
      <c r="J19" s="61" t="n">
        <f aca="false">SUM(J9:J18)</f>
        <v>39660.37</v>
      </c>
      <c r="K19" s="61" t="n">
        <f aca="false">SUM(K9:K18)</f>
        <v>39176.7</v>
      </c>
      <c r="L19" s="61" t="n">
        <f aca="false">SUM(L9:L18)</f>
        <v>34553.19</v>
      </c>
      <c r="M19" s="61" t="n">
        <f aca="false">SUM(M9:M18)</f>
        <v>37371</v>
      </c>
      <c r="N19" s="61" t="n">
        <f aca="false">SUM(N9:N18)</f>
        <v>49626</v>
      </c>
      <c r="O19" s="61" t="n">
        <f aca="false">SUM(O9:O18)</f>
        <v>43301.8333333333</v>
      </c>
      <c r="P19" s="61" t="n">
        <f aca="false">SUM(P9:P18)</f>
        <v>38885.2676388889</v>
      </c>
      <c r="Q19" s="61" t="n">
        <f aca="false">SUM(Q9:Q18)</f>
        <v>48680.1622957176</v>
      </c>
      <c r="R19" s="61" t="n">
        <f aca="false">SUM(R9:R18)</f>
        <v>39930.965882437</v>
      </c>
      <c r="S19" s="61" t="n">
        <f aca="false">SUM(S9:S18)</f>
        <v>49657.2581690186</v>
      </c>
      <c r="T19" s="61" t="n">
        <f aca="false">SUM(T9:T18)</f>
        <v>42226.2475227286</v>
      </c>
      <c r="U19" s="61" t="n">
        <f aca="false">SUM(U9:U18)</f>
        <v>45821.549143269</v>
      </c>
      <c r="V19" s="61" t="n">
        <f aca="false">SUM(V9:V18)</f>
        <v>42249.7644276339</v>
      </c>
      <c r="W19" s="61" t="n">
        <f aca="false">SUM(W9:W18)</f>
        <v>40075.1562852458</v>
      </c>
      <c r="X19" s="61" t="n">
        <f aca="false">SUM(X9:X18)</f>
        <v>37209.6979394558</v>
      </c>
      <c r="Y19" s="61" t="n">
        <f aca="false">SUM(Y9:Y18)</f>
        <v>40099.9501755117</v>
      </c>
      <c r="Z19" s="61" t="n">
        <f aca="false">SUM(Z9:Z18)</f>
        <v>45896.0359141768</v>
      </c>
      <c r="AA19" s="61" t="n">
        <f aca="false">SUM(AA9:AA18)</f>
        <v>40099.3682211734</v>
      </c>
      <c r="AB19" s="61" t="n">
        <f aca="false">SUM(AB9:AB18)</f>
        <v>40099.3750106474</v>
      </c>
    </row>
    <row r="20" customFormat="false" ht="15" hidden="false" customHeight="false" outlineLevel="0" collapsed="false">
      <c r="A20" s="21" t="s">
        <v>1511</v>
      </c>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row>
    <row r="21" customFormat="false" ht="15" hidden="false" customHeight="false" outlineLevel="0" collapsed="false">
      <c r="A21" s="27" t="s">
        <v>1512</v>
      </c>
      <c r="B21" s="63"/>
      <c r="C21" s="66" t="n">
        <f aca="false">P21</f>
        <v>5921.37222582627</v>
      </c>
      <c r="D21" s="66" t="n">
        <f aca="false">AB21</f>
        <v>6151.55835094033</v>
      </c>
      <c r="E21" s="67" t="n">
        <f aca="false">Contracts!E161*Assumptions!$C$147+Contracts!E162</f>
        <v>5333.1</v>
      </c>
      <c r="F21" s="67" t="n">
        <f aca="false">Contracts!F161*Assumptions!$C$147+Contracts!F162</f>
        <v>5347.4</v>
      </c>
      <c r="G21" s="67" t="n">
        <f aca="false">Contracts!G161*Assumptions!$C$147+Contracts!G162</f>
        <v>5474.2</v>
      </c>
      <c r="H21" s="67" t="n">
        <f aca="false">Contracts!H161*Assumptions!$C$147+Contracts!H162</f>
        <v>5488.3</v>
      </c>
      <c r="I21" s="67" t="n">
        <f aca="false">Contracts!I161*Assumptions!$C$147+Contracts!I162</f>
        <v>5385.5</v>
      </c>
      <c r="J21" s="67" t="n">
        <f aca="false">Contracts!J161*Assumptions!$C$147+Contracts!J162</f>
        <v>5396.4</v>
      </c>
      <c r="K21" s="67" t="n">
        <f aca="false">Contracts!K161*Assumptions!$C$147+Contracts!K162</f>
        <v>5554.8</v>
      </c>
      <c r="L21" s="67" t="n">
        <f aca="false">Contracts!L161*Assumptions!$C$147+Contracts!L162</f>
        <v>5571.1</v>
      </c>
      <c r="M21" s="67" t="n">
        <f aca="false">Contracts!M161*Assumptions!$C$147+Contracts!M162</f>
        <v>5582.2969</v>
      </c>
      <c r="N21" s="67" t="n">
        <f aca="false">Contracts!N161*Assumptions!$C$147+Contracts!N162</f>
        <v>5558.53916768</v>
      </c>
      <c r="O21" s="67" t="n">
        <f aca="false">Contracts!O161*Assumptions!$C$147+Contracts!O162</f>
        <v>5926.06439558927</v>
      </c>
      <c r="P21" s="67" t="n">
        <f aca="false">Contracts!P161*Assumptions!$C$147+Contracts!P162</f>
        <v>5921.37222582627</v>
      </c>
      <c r="Q21" s="67" t="n">
        <f aca="false">Contracts!Q161*Assumptions!$C$147+Contracts!Q162</f>
        <v>6006.84622959308</v>
      </c>
      <c r="R21" s="67" t="n">
        <f aca="false">Contracts!R161*Assumptions!$C$147+Contracts!R162</f>
        <v>6104.28710833076</v>
      </c>
      <c r="S21" s="67" t="n">
        <f aca="false">Contracts!S161*Assumptions!$C$147+Contracts!S162</f>
        <v>6059.86179602741</v>
      </c>
      <c r="T21" s="67" t="n">
        <f aca="false">Contracts!T161*Assumptions!$C$147+Contracts!T162</f>
        <v>6115.93513449989</v>
      </c>
      <c r="U21" s="67" t="n">
        <f aca="false">Contracts!U161*Assumptions!$C$147+Contracts!U162</f>
        <v>6122.11664614632</v>
      </c>
      <c r="V21" s="67" t="n">
        <f aca="false">Contracts!V161*Assumptions!$C$147+Contracts!V162</f>
        <v>6134.81768849897</v>
      </c>
      <c r="W21" s="67" t="n">
        <f aca="false">Contracts!W161*Assumptions!$C$147+Contracts!W162</f>
        <v>6141.72772633141</v>
      </c>
      <c r="X21" s="67" t="n">
        <f aca="false">Contracts!X161*Assumptions!$C$147+Contracts!X162</f>
        <v>6114.48669636455</v>
      </c>
      <c r="Y21" s="67" t="n">
        <f aca="false">Contracts!Y161*Assumptions!$C$147+Contracts!Y162</f>
        <v>6127.18708094848</v>
      </c>
      <c r="Z21" s="67" t="n">
        <f aca="false">Contracts!Z161*Assumptions!$C$147+Contracts!Z162</f>
        <v>6135.86116943186</v>
      </c>
      <c r="AA21" s="67" t="n">
        <f aca="false">Contracts!AA161*Assumptions!$C$147+Contracts!AA162</f>
        <v>6138.7930016357</v>
      </c>
      <c r="AB21" s="67" t="n">
        <f aca="false">Contracts!AB161*Assumptions!$C$147+Contracts!AB162</f>
        <v>6151.55835094033</v>
      </c>
    </row>
    <row r="22" customFormat="false" ht="15" hidden="false" customHeight="false" outlineLevel="0" collapsed="false">
      <c r="A22" s="27" t="s">
        <v>1513</v>
      </c>
      <c r="B22" s="63" t="s">
        <v>1514</v>
      </c>
      <c r="C22" s="66" t="n">
        <f aca="false">SUM(E22:P22)</f>
        <v>280232.847142925</v>
      </c>
      <c r="D22" s="66" t="n">
        <f aca="false">SUM(Q22:AB22)</f>
        <v>303401.827337746</v>
      </c>
      <c r="E22" s="67" t="n">
        <f aca="false">IF(E$5="A",Inputs_Actuals!E241,E21*Assumptions!$C$145+Assumptions!$C$146)</f>
        <v>22632.54</v>
      </c>
      <c r="F22" s="67" t="n">
        <f aca="false">IF(F$5="A",Inputs_Actuals!F241,F21*Assumptions!$C$145+Assumptions!$C$146)</f>
        <v>22681.16</v>
      </c>
      <c r="G22" s="67" t="n">
        <f aca="false">IF(G$5="A",Inputs_Actuals!G241,G21*Assumptions!$C$145+Assumptions!$C$146)</f>
        <v>23112.28</v>
      </c>
      <c r="H22" s="67" t="n">
        <f aca="false">IF(H$5="A",Inputs_Actuals!H241,H21*Assumptions!$C$145+Assumptions!$C$146)</f>
        <v>23160.22</v>
      </c>
      <c r="I22" s="67" t="n">
        <f aca="false">IF(I$5="A",Inputs_Actuals!I241,I21*Assumptions!$C$145+Assumptions!$C$146)</f>
        <v>22810.7</v>
      </c>
      <c r="J22" s="67" t="n">
        <f aca="false">IF(J$5="A",Inputs_Actuals!J241,J21*Assumptions!$C$145+Assumptions!$C$146)</f>
        <v>22847.76</v>
      </c>
      <c r="K22" s="67" t="n">
        <f aca="false">IF(K$5="A",Inputs_Actuals!K241,K21*Assumptions!$C$145+Assumptions!$C$146)</f>
        <v>23386.32</v>
      </c>
      <c r="L22" s="67" t="n">
        <f aca="false">IF(L$5="A",Inputs_Actuals!L241,L21*Assumptions!$C$145+Assumptions!$C$146)</f>
        <v>23441.74</v>
      </c>
      <c r="M22" s="67" t="n">
        <f aca="false">IF(M$5="A",Inputs_Actuals!M241,M21*Assumptions!$C$145+Assumptions!$C$146)</f>
        <v>23479.80946</v>
      </c>
      <c r="N22" s="67" t="n">
        <f aca="false">IF(N$5="A",Inputs_Actuals!N241,N21*Assumptions!$C$145+Assumptions!$C$146)</f>
        <v>23399.033170112</v>
      </c>
      <c r="O22" s="67" t="n">
        <f aca="false">IF(O$5="A",Inputs_Actuals!O241,O21*Assumptions!$C$145+Assumptions!$C$146)</f>
        <v>24648.6189450035</v>
      </c>
      <c r="P22" s="67" t="n">
        <f aca="false">IF(P$5="A",Inputs_Actuals!P241,P21*Assumptions!$C$145+Assumptions!$C$146)</f>
        <v>24632.6655678093</v>
      </c>
      <c r="Q22" s="67" t="n">
        <f aca="false">IF(Q$5="A",Inputs_Actuals!Q241,Q21*Assumptions!$C$145+Assumptions!$C$146)</f>
        <v>24923.2771806165</v>
      </c>
      <c r="R22" s="67" t="n">
        <f aca="false">IF(R$5="A",Inputs_Actuals!R241,R21*Assumptions!$C$145+Assumptions!$C$146)</f>
        <v>25254.5761683246</v>
      </c>
      <c r="S22" s="67" t="n">
        <f aca="false">IF(S$5="A",Inputs_Actuals!S241,S21*Assumptions!$C$145+Assumptions!$C$146)</f>
        <v>25103.5301064932</v>
      </c>
      <c r="T22" s="67" t="n">
        <f aca="false">IF(T$5="A",Inputs_Actuals!T241,T21*Assumptions!$C$145+Assumptions!$C$146)</f>
        <v>25294.1794572996</v>
      </c>
      <c r="U22" s="67" t="n">
        <f aca="false">IF(U$5="A",Inputs_Actuals!U241,U21*Assumptions!$C$145+Assumptions!$C$146)</f>
        <v>25315.1965968975</v>
      </c>
      <c r="V22" s="67" t="n">
        <f aca="false">IF(V$5="A",Inputs_Actuals!V241,V21*Assumptions!$C$145+Assumptions!$C$146)</f>
        <v>25358.3801408965</v>
      </c>
      <c r="W22" s="67" t="n">
        <f aca="false">IF(W$5="A",Inputs_Actuals!W241,W21*Assumptions!$C$145+Assumptions!$C$146)</f>
        <v>25381.8742695268</v>
      </c>
      <c r="X22" s="67" t="n">
        <f aca="false">IF(X$5="A",Inputs_Actuals!X241,X21*Assumptions!$C$145+Assumptions!$C$146)</f>
        <v>25289.2547676395</v>
      </c>
      <c r="Y22" s="67" t="n">
        <f aca="false">IF(Y$5="A",Inputs_Actuals!Y241,Y21*Assumptions!$C$145+Assumptions!$C$146)</f>
        <v>25332.4360752248</v>
      </c>
      <c r="Z22" s="67" t="n">
        <f aca="false">IF(Z$5="A",Inputs_Actuals!Z241,Z21*Assumptions!$C$145+Assumptions!$C$146)</f>
        <v>25361.9279760683</v>
      </c>
      <c r="AA22" s="67" t="n">
        <f aca="false">IF(AA$5="A",Inputs_Actuals!AA241,AA21*Assumptions!$C$145+Assumptions!$C$146)</f>
        <v>25371.8962055614</v>
      </c>
      <c r="AB22" s="67" t="n">
        <f aca="false">IF(AB$5="A",Inputs_Actuals!AB241,AB21*Assumptions!$C$145+Assumptions!$C$146)</f>
        <v>25415.2983931971</v>
      </c>
    </row>
    <row r="23" customFormat="false" ht="15" hidden="false" customHeight="false" outlineLevel="0" collapsed="false">
      <c r="A23" s="59" t="s">
        <v>1515</v>
      </c>
      <c r="B23" s="60" t="s">
        <v>1516</v>
      </c>
      <c r="C23" s="61" t="n">
        <f aca="false">SUM(E23:P23)</f>
        <v>242255.627343739</v>
      </c>
      <c r="D23" s="61" t="n">
        <f aca="false">SUM(Q23:AB23)</f>
        <v>264679.252671854</v>
      </c>
      <c r="E23" s="62" t="n">
        <f aca="false">E22/Assumptions!E$216</f>
        <v>19340.7451717655</v>
      </c>
      <c r="F23" s="62" t="n">
        <f aca="false">F22/Assumptions!F$216</f>
        <v>19237.6251060221</v>
      </c>
      <c r="G23" s="62" t="n">
        <f aca="false">G22/Assumptions!G$216</f>
        <v>19903.7891836032</v>
      </c>
      <c r="H23" s="62" t="n">
        <f aca="false">H22/Assumptions!H$216</f>
        <v>20060.822867042</v>
      </c>
      <c r="I23" s="62" t="n">
        <f aca="false">I22/Assumptions!I$216</f>
        <v>19856.110724234</v>
      </c>
      <c r="J23" s="62" t="n">
        <f aca="false">J22/Assumptions!J$216</f>
        <v>19742.2967251361</v>
      </c>
      <c r="K23" s="62" t="n">
        <f aca="false">K22/Assumptions!K$216</f>
        <v>20113.804076718</v>
      </c>
      <c r="L23" s="62" t="n">
        <f aca="false">L22/Assumptions!L$216</f>
        <v>20113.033033033</v>
      </c>
      <c r="M23" s="62" t="n">
        <f aca="false">M22/Assumptions!M$216</f>
        <v>20483.1278548373</v>
      </c>
      <c r="N23" s="62" t="n">
        <f aca="false">N22/Assumptions!N$216</f>
        <v>20412.6608829381</v>
      </c>
      <c r="O23" s="62" t="n">
        <f aca="false">O22/Assumptions!O$216</f>
        <v>21502.7644988254</v>
      </c>
      <c r="P23" s="62" t="n">
        <f aca="false">P22/Assumptions!P$216</f>
        <v>21488.8472195842</v>
      </c>
      <c r="Q23" s="62" t="n">
        <f aca="false">Q22/Assumptions!Q$216</f>
        <v>21742.3686474888</v>
      </c>
      <c r="R23" s="62" t="n">
        <f aca="false">R22/Assumptions!R$216</f>
        <v>22031.384601173</v>
      </c>
      <c r="S23" s="62" t="n">
        <f aca="false">S22/Assumptions!S$216</f>
        <v>21899.6162492307</v>
      </c>
      <c r="T23" s="62" t="n">
        <f aca="false">T22/Assumptions!T$216</f>
        <v>22065.9334007674</v>
      </c>
      <c r="U23" s="62" t="n">
        <f aca="false">U22/Assumptions!U$216</f>
        <v>22084.2681644399</v>
      </c>
      <c r="V23" s="62" t="n">
        <f aca="false">V22/Assumptions!V$216</f>
        <v>22121.9402781964</v>
      </c>
      <c r="W23" s="62" t="n">
        <f aca="false">W22/Assumptions!W$216</f>
        <v>22142.4358976941</v>
      </c>
      <c r="X23" s="62" t="n">
        <f aca="false">X22/Assumptions!X$216</f>
        <v>22061.6372395006</v>
      </c>
      <c r="Y23" s="62" t="n">
        <f aca="false">Y22/Assumptions!Y$216</f>
        <v>22099.3074022724</v>
      </c>
      <c r="Z23" s="62" t="n">
        <f aca="false">Z22/Assumptions!Z$216</f>
        <v>22125.0353101878</v>
      </c>
      <c r="AA23" s="62" t="n">
        <f aca="false">AA22/Assumptions!AA$216</f>
        <v>22133.7313142819</v>
      </c>
      <c r="AB23" s="62" t="n">
        <f aca="false">AB22/Assumptions!AB$216</f>
        <v>22171.5941666205</v>
      </c>
    </row>
    <row r="24" customFormat="false" ht="15" hidden="false" customHeight="false" outlineLevel="0" collapsed="false">
      <c r="A24" s="59" t="s">
        <v>1517</v>
      </c>
      <c r="B24" s="60" t="s">
        <v>1518</v>
      </c>
      <c r="C24" s="61" t="n">
        <f aca="false">SUM(E24:P24)</f>
        <v>106759.785805927</v>
      </c>
      <c r="D24" s="61" t="n">
        <f aca="false">SUM(Q24:AB24)</f>
        <v>110727.186849457</v>
      </c>
      <c r="E24" s="62" t="n">
        <f aca="false">IF(E$5="A",Inputs_Actuals!E242,(Assumptions!$C$148+Assumptions!$C$149*Contracts!E162)*Assumptions!E$208)</f>
        <v>8856.6</v>
      </c>
      <c r="F24" s="62" t="n">
        <f aca="false">IF(F$5="A",Inputs_Actuals!F242,(Assumptions!$C$148+Assumptions!$C$149*Contracts!F162)*Assumptions!F$208)</f>
        <v>8856.6</v>
      </c>
      <c r="G24" s="62" t="n">
        <f aca="false">IF(G$5="A",Inputs_Actuals!G242,(Assumptions!$C$148+Assumptions!$C$149*Contracts!G162)*Assumptions!G$208)</f>
        <v>8883.6</v>
      </c>
      <c r="H24" s="62" t="n">
        <f aca="false">IF(H$5="A",Inputs_Actuals!H242,(Assumptions!$C$148+Assumptions!$C$149*Contracts!H162)*Assumptions!H$208)</f>
        <v>8885.4</v>
      </c>
      <c r="I24" s="62" t="n">
        <f aca="false">IF(I$5="A",Inputs_Actuals!I242,(Assumptions!$C$148+Assumptions!$C$149*Contracts!I162)*Assumptions!I$208)</f>
        <v>8870.1</v>
      </c>
      <c r="J24" s="62" t="n">
        <f aca="false">IF(J$5="A",Inputs_Actuals!J242,(Assumptions!$C$148+Assumptions!$C$149*Contracts!J162)*Assumptions!J$208)</f>
        <v>8871</v>
      </c>
      <c r="K24" s="62" t="n">
        <f aca="false">IF(K$5="A",Inputs_Actuals!K242,(Assumptions!$C$148+Assumptions!$C$149*Contracts!K162)*Assumptions!K$208)</f>
        <v>8900.7</v>
      </c>
      <c r="L24" s="62" t="n">
        <f aca="false">IF(L$5="A",Inputs_Actuals!L242,(Assumptions!$C$148+Assumptions!$C$149*Contracts!L162)*Assumptions!L$208)</f>
        <v>8902.5</v>
      </c>
      <c r="M24" s="62" t="n">
        <f aca="false">IF(M$5="A",Inputs_Actuals!M242,(Assumptions!$C$148+Assumptions!$C$149*Contracts!M162)*Assumptions!M$208)</f>
        <v>8903.7474</v>
      </c>
      <c r="N24" s="62" t="n">
        <f aca="false">IF(N$5="A",Inputs_Actuals!N242,(Assumptions!$C$148+Assumptions!$C$149*Contracts!N162)*Assumptions!N$208)</f>
        <v>8898.50999283</v>
      </c>
      <c r="O24" s="62" t="n">
        <f aca="false">IF(O$5="A",Inputs_Actuals!O242,(Assumptions!$C$148+Assumptions!$C$149*Contracts!O162)*Assumptions!O$208)</f>
        <v>8966.78609730093</v>
      </c>
      <c r="P24" s="62" t="n">
        <f aca="false">IF(P$5="A",Inputs_Actuals!P242,(Assumptions!$C$148+Assumptions!$C$149*Contracts!P162)*Assumptions!P$208)</f>
        <v>8964.24231579587</v>
      </c>
      <c r="Q24" s="62" t="n">
        <f aca="false">IF(Q$5="A",Inputs_Actuals!Q242,(Assumptions!$C$148+Assumptions!$C$149*Contracts!Q162)*Assumptions!Q$208)</f>
        <v>9205.5881182133</v>
      </c>
      <c r="R24" s="62" t="n">
        <f aca="false">IF(R$5="A",Inputs_Actuals!R242,(Assumptions!$C$148+Assumptions!$C$149*Contracts!R162)*Assumptions!R$208)</f>
        <v>9227.81273198719</v>
      </c>
      <c r="S24" s="62" t="n">
        <f aca="false">IF(S$5="A",Inputs_Actuals!S242,(Assumptions!$C$148+Assumptions!$C$149*Contracts!S162)*Assumptions!S$208)</f>
        <v>9220.32892881391</v>
      </c>
      <c r="T24" s="62" t="n">
        <f aca="false">IF(T$5="A",Inputs_Actuals!T242,(Assumptions!$C$148+Assumptions!$C$149*Contracts!T162)*Assumptions!T$208)</f>
        <v>9231.61194178613</v>
      </c>
      <c r="U24" s="62" t="n">
        <f aca="false">IF(U$5="A",Inputs_Actuals!U242,(Assumptions!$C$148+Assumptions!$C$149*Contracts!U162)*Assumptions!U$208)</f>
        <v>9231.92910662359</v>
      </c>
      <c r="V24" s="62" t="n">
        <f aca="false">IF(V$5="A",Inputs_Actuals!V242,(Assumptions!$C$148+Assumptions!$C$149*Contracts!V162)*Assumptions!V$208)</f>
        <v>9233.36857604462</v>
      </c>
      <c r="W24" s="62" t="n">
        <f aca="false">IF(W$5="A",Inputs_Actuals!W242,(Assumptions!$C$148+Assumptions!$C$149*Contracts!W162)*Assumptions!W$208)</f>
        <v>9233.50422127518</v>
      </c>
      <c r="X24" s="62" t="n">
        <f aca="false">IF(X$5="A",Inputs_Actuals!X242,(Assumptions!$C$148+Assumptions!$C$149*Contracts!X162)*Assumptions!X$208)</f>
        <v>9227.22897851103</v>
      </c>
      <c r="Y24" s="62" t="n">
        <f aca="false">IF(Y$5="A",Inputs_Actuals!Y242,(Assumptions!$C$148+Assumptions!$C$149*Contracts!Y162)*Assumptions!Y$208)</f>
        <v>9228.66326148239</v>
      </c>
      <c r="Z24" s="62" t="n">
        <f aca="false">IF(Z$5="A",Inputs_Actuals!Z242,(Assumptions!$C$148+Assumptions!$C$149*Contracts!Z162)*Assumptions!Z$208)</f>
        <v>9229.53819211605</v>
      </c>
      <c r="AA24" s="62" t="n">
        <f aca="false">IF(AA$5="A",Inputs_Actuals!AA242,(Assumptions!$C$148+Assumptions!$C$149*Contracts!AA162)*Assumptions!AA$208)</f>
        <v>9228.08877579403</v>
      </c>
      <c r="AB24" s="62" t="n">
        <f aca="false">IF(AB$5="A",Inputs_Actuals!AB242,(Assumptions!$C$148+Assumptions!$C$149*Contracts!AB162)*Assumptions!AB$208)</f>
        <v>9229.52401680943</v>
      </c>
    </row>
    <row r="25" customFormat="false" ht="15" hidden="false" customHeight="false" outlineLevel="0" collapsed="false">
      <c r="A25" s="59" t="s">
        <v>1519</v>
      </c>
      <c r="B25" s="60" t="s">
        <v>1520</v>
      </c>
      <c r="C25" s="61" t="n">
        <f aca="false">SUM(E25:P25)</f>
        <v>63505.4937864255</v>
      </c>
      <c r="D25" s="61" t="n">
        <f aca="false">SUM(Q25:AB25)</f>
        <v>73838.2880565933</v>
      </c>
      <c r="E25" s="62" t="n">
        <f aca="false">IF(E$5="A",Inputs_Actuals!E243,(People!E12+1)*Assumptions!$C$150*Assumptions!E$208)</f>
        <v>5636.01</v>
      </c>
      <c r="F25" s="62" t="n">
        <f aca="false">IF(F$5="A",Inputs_Actuals!F243,(People!F12+1)*Assumptions!$C$150*Assumptions!F$208)</f>
        <v>5397.13</v>
      </c>
      <c r="G25" s="62" t="n">
        <f aca="false">IF(G$5="A",Inputs_Actuals!G243,(People!G12+1)*Assumptions!$C$150*Assumptions!G$208)</f>
        <v>4560.78</v>
      </c>
      <c r="H25" s="62" t="n">
        <f aca="false">IF(H$5="A",Inputs_Actuals!H243,(People!H12+1)*Assumptions!$C$150*Assumptions!H$208)</f>
        <v>4836.18</v>
      </c>
      <c r="I25" s="62" t="n">
        <f aca="false">IF(I$5="A",Inputs_Actuals!I243,(People!I12+1)*Assumptions!$C$150*Assumptions!I$208)</f>
        <v>4674.39</v>
      </c>
      <c r="J25" s="62" t="n">
        <f aca="false">IF(J$5="A",Inputs_Actuals!J243,(People!J12+1)*Assumptions!$C$150*Assumptions!J$208)</f>
        <v>5555.41</v>
      </c>
      <c r="K25" s="62" t="n">
        <f aca="false">IF(K$5="A",Inputs_Actuals!K243,(People!K12+1)*Assumptions!$C$150*Assumptions!K$208)</f>
        <v>5465.7</v>
      </c>
      <c r="L25" s="62" t="n">
        <f aca="false">IF(L$5="A",Inputs_Actuals!L243,(People!L12+1)*Assumptions!$C$150*Assumptions!L$208)</f>
        <v>5641.87</v>
      </c>
      <c r="M25" s="62" t="n">
        <f aca="false">IF(M$5="A",Inputs_Actuals!M243,(People!M12+1)*Assumptions!$C$150*Assumptions!M$208)</f>
        <v>5474.7</v>
      </c>
      <c r="N25" s="62" t="n">
        <f aca="false">IF(N$5="A",Inputs_Actuals!N243,(People!N12+1)*Assumptions!$C$150*Assumptions!N$208)</f>
        <v>5420.04516666667</v>
      </c>
      <c r="O25" s="62" t="n">
        <f aca="false">IF(O$5="A",Inputs_Actuals!O243,(People!O12+1)*Assumptions!$C$150*Assumptions!O$208)</f>
        <v>5421.32797305556</v>
      </c>
      <c r="P25" s="62" t="n">
        <f aca="false">IF(P$5="A",Inputs_Actuals!P243,(People!P12+1)*Assumptions!$C$150*Assumptions!P$208)</f>
        <v>5421.95064670324</v>
      </c>
      <c r="Q25" s="62" t="n">
        <f aca="false">IF(Q$5="A",Inputs_Actuals!Q243,(People!Q12+1)*Assumptions!$C$150*Assumptions!Q$208)</f>
        <v>5557.47662650538</v>
      </c>
      <c r="R25" s="62" t="n">
        <f aca="false">IF(R$5="A",Inputs_Actuals!R243,(People!R12+1)*Assumptions!$C$150*Assumptions!R$208)</f>
        <v>5557.46944620728</v>
      </c>
      <c r="S25" s="62" t="n">
        <f aca="false">IF(S$5="A",Inputs_Actuals!S243,(People!S12+1)*Assumptions!$C$150*Assumptions!S$208)</f>
        <v>5557.46979581835</v>
      </c>
      <c r="T25" s="62" t="n">
        <f aca="false">IF(T$5="A",Inputs_Actuals!T243,(People!T12+1)*Assumptions!$C$150*Assumptions!T$208)</f>
        <v>6367.2198755097</v>
      </c>
      <c r="U25" s="62" t="n">
        <f aca="false">IF(U$5="A",Inputs_Actuals!U243,(People!U12+1)*Assumptions!$C$150*Assumptions!U$208)</f>
        <v>6357.77278716784</v>
      </c>
      <c r="V25" s="62" t="n">
        <f aca="false">IF(V$5="A",Inputs_Actuals!V243,(People!V12+1)*Assumptions!$C$150*Assumptions!V$208)</f>
        <v>6348.43591893543</v>
      </c>
      <c r="W25" s="62" t="n">
        <f aca="false">IF(W$5="A",Inputs_Actuals!W243,(People!W12+1)*Assumptions!$C$150*Assumptions!W$208)</f>
        <v>6348.65506509546</v>
      </c>
      <c r="X25" s="62" t="n">
        <f aca="false">IF(X$5="A",Inputs_Actuals!X243,(People!X12+1)*Assumptions!$C$150*Assumptions!X$208)</f>
        <v>6348.76143851964</v>
      </c>
      <c r="Y25" s="62" t="n">
        <f aca="false">IF(Y$5="A",Inputs_Actuals!Y243,(People!Y12+1)*Assumptions!$C$150*Assumptions!Y$208)</f>
        <v>6348.75764079116</v>
      </c>
      <c r="Z25" s="62" t="n">
        <f aca="false">IF(Z$5="A",Inputs_Actuals!Z243,(People!Z12+1)*Assumptions!$C$150*Assumptions!Z$208)</f>
        <v>6348.75644407471</v>
      </c>
      <c r="AA25" s="62" t="n">
        <f aca="false">IF(AA$5="A",Inputs_Actuals!AA243,(People!AA12+1)*Assumptions!$C$150*Assumptions!AA$208)</f>
        <v>6348.75650234323</v>
      </c>
      <c r="AB25" s="62" t="n">
        <f aca="false">IF(AB$5="A",Inputs_Actuals!AB243,(People!AB12+1)*Assumptions!$C$150*Assumptions!AB$208)</f>
        <v>6348.75651562512</v>
      </c>
    </row>
    <row r="26" customFormat="false" ht="15" hidden="false" customHeight="false" outlineLevel="0" collapsed="false">
      <c r="A26" s="21" t="s">
        <v>1521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row>
    <row r="27" customFormat="false" ht="15" hidden="false" customHeight="false" outlineLevel="0" collapsed="false">
      <c r="A27" s="27" t="s">
        <v>1522</v>
      </c>
      <c r="B27" s="63" t="s">
        <v>1523</v>
      </c>
      <c r="C27" s="66" t="n">
        <f aca="false">SUM(E27:P27)</f>
        <v>94500</v>
      </c>
      <c r="D27" s="66" t="n">
        <f aca="false">SUM(Q27:AB27)</f>
        <v>96862.5</v>
      </c>
      <c r="E27" s="67" t="n">
        <f aca="false">E9*(1-Assumptions!$C$32)</f>
        <v>7875</v>
      </c>
      <c r="F27" s="67" t="n">
        <f aca="false">F9*(1-Assumptions!$C$32)</f>
        <v>7875</v>
      </c>
      <c r="G27" s="67" t="n">
        <f aca="false">G9*(1-Assumptions!$C$32)</f>
        <v>7875</v>
      </c>
      <c r="H27" s="67" t="n">
        <f aca="false">H9*(1-Assumptions!$C$32)</f>
        <v>7875</v>
      </c>
      <c r="I27" s="67" t="n">
        <f aca="false">I9*(1-Assumptions!$C$32)</f>
        <v>7875</v>
      </c>
      <c r="J27" s="67" t="n">
        <f aca="false">J9*(1-Assumptions!$C$32)</f>
        <v>7875</v>
      </c>
      <c r="K27" s="67" t="n">
        <f aca="false">K9*(1-Assumptions!$C$32)</f>
        <v>7875</v>
      </c>
      <c r="L27" s="67" t="n">
        <f aca="false">L9*(1-Assumptions!$C$32)</f>
        <v>7875</v>
      </c>
      <c r="M27" s="67" t="n">
        <f aca="false">M9*(1-Assumptions!$C$32)</f>
        <v>7875</v>
      </c>
      <c r="N27" s="67" t="n">
        <f aca="false">N9*(1-Assumptions!$C$32)</f>
        <v>7875</v>
      </c>
      <c r="O27" s="67" t="n">
        <f aca="false">O9*(1-Assumptions!$C$32)</f>
        <v>7875</v>
      </c>
      <c r="P27" s="67" t="n">
        <f aca="false">P9*(1-Assumptions!$C$32)</f>
        <v>7875</v>
      </c>
      <c r="Q27" s="67" t="n">
        <f aca="false">Q9*(1-Assumptions!$C$32)</f>
        <v>8071.875</v>
      </c>
      <c r="R27" s="67" t="n">
        <f aca="false">R9*(1-Assumptions!$C$32)</f>
        <v>8071.875</v>
      </c>
      <c r="S27" s="67" t="n">
        <f aca="false">S9*(1-Assumptions!$C$32)</f>
        <v>8071.875</v>
      </c>
      <c r="T27" s="67" t="n">
        <f aca="false">T9*(1-Assumptions!$C$32)</f>
        <v>8071.875</v>
      </c>
      <c r="U27" s="67" t="n">
        <f aca="false">U9*(1-Assumptions!$C$32)</f>
        <v>8071.875</v>
      </c>
      <c r="V27" s="67" t="n">
        <f aca="false">V9*(1-Assumptions!$C$32)</f>
        <v>8071.875</v>
      </c>
      <c r="W27" s="67" t="n">
        <f aca="false">W9*(1-Assumptions!$C$32)</f>
        <v>8071.875</v>
      </c>
      <c r="X27" s="67" t="n">
        <f aca="false">X9*(1-Assumptions!$C$32)</f>
        <v>8071.875</v>
      </c>
      <c r="Y27" s="67" t="n">
        <f aca="false">Y9*(1-Assumptions!$C$32)</f>
        <v>8071.875</v>
      </c>
      <c r="Z27" s="67" t="n">
        <f aca="false">Z9*(1-Assumptions!$C$32)</f>
        <v>8071.875</v>
      </c>
      <c r="AA27" s="67" t="n">
        <f aca="false">AA9*(1-Assumptions!$C$32)</f>
        <v>8071.875</v>
      </c>
      <c r="AB27" s="67" t="n">
        <f aca="false">AB9*(1-Assumptions!$C$32)</f>
        <v>8071.875</v>
      </c>
    </row>
    <row r="28" customFormat="false" ht="15" hidden="false" customHeight="false" outlineLevel="0" collapsed="false">
      <c r="A28" s="27" t="s">
        <v>1524</v>
      </c>
      <c r="B28" s="63" t="s">
        <v>1525</v>
      </c>
      <c r="C28" s="66" t="n">
        <f aca="false">SUM(E28:P28)</f>
        <v>31500</v>
      </c>
      <c r="D28" s="66" t="n">
        <f aca="false">SUM(Q28:AB28)</f>
        <v>32287.5</v>
      </c>
      <c r="E28" s="67" t="n">
        <f aca="false">E9*Assumptions!$C$32</f>
        <v>2625</v>
      </c>
      <c r="F28" s="67" t="n">
        <f aca="false">F9*Assumptions!$C$32</f>
        <v>2625</v>
      </c>
      <c r="G28" s="67" t="n">
        <f aca="false">G9*Assumptions!$C$32</f>
        <v>2625</v>
      </c>
      <c r="H28" s="67" t="n">
        <f aca="false">H9*Assumptions!$C$32</f>
        <v>2625</v>
      </c>
      <c r="I28" s="67" t="n">
        <f aca="false">I9*Assumptions!$C$32</f>
        <v>2625</v>
      </c>
      <c r="J28" s="67" t="n">
        <f aca="false">J9*Assumptions!$C$32</f>
        <v>2625</v>
      </c>
      <c r="K28" s="67" t="n">
        <f aca="false">K9*Assumptions!$C$32</f>
        <v>2625</v>
      </c>
      <c r="L28" s="67" t="n">
        <f aca="false">L9*Assumptions!$C$32</f>
        <v>2625</v>
      </c>
      <c r="M28" s="67" t="n">
        <f aca="false">M9*Assumptions!$C$32</f>
        <v>2625</v>
      </c>
      <c r="N28" s="67" t="n">
        <f aca="false">N9*Assumptions!$C$32</f>
        <v>2625</v>
      </c>
      <c r="O28" s="67" t="n">
        <f aca="false">O9*Assumptions!$C$32</f>
        <v>2625</v>
      </c>
      <c r="P28" s="67" t="n">
        <f aca="false">P9*Assumptions!$C$32</f>
        <v>2625</v>
      </c>
      <c r="Q28" s="67" t="n">
        <f aca="false">Q9*Assumptions!$C$32</f>
        <v>2690.625</v>
      </c>
      <c r="R28" s="67" t="n">
        <f aca="false">R9*Assumptions!$C$32</f>
        <v>2690.625</v>
      </c>
      <c r="S28" s="67" t="n">
        <f aca="false">S9*Assumptions!$C$32</f>
        <v>2690.625</v>
      </c>
      <c r="T28" s="67" t="n">
        <f aca="false">T9*Assumptions!$C$32</f>
        <v>2690.625</v>
      </c>
      <c r="U28" s="67" t="n">
        <f aca="false">U9*Assumptions!$C$32</f>
        <v>2690.625</v>
      </c>
      <c r="V28" s="67" t="n">
        <f aca="false">V9*Assumptions!$C$32</f>
        <v>2690.625</v>
      </c>
      <c r="W28" s="67" t="n">
        <f aca="false">W9*Assumptions!$C$32</f>
        <v>2690.625</v>
      </c>
      <c r="X28" s="67" t="n">
        <f aca="false">X9*Assumptions!$C$32</f>
        <v>2690.625</v>
      </c>
      <c r="Y28" s="67" t="n">
        <f aca="false">Y9*Assumptions!$C$32</f>
        <v>2690.625</v>
      </c>
      <c r="Z28" s="67" t="n">
        <f aca="false">Z9*Assumptions!$C$32</f>
        <v>2690.625</v>
      </c>
      <c r="AA28" s="67" t="n">
        <f aca="false">AA9*Assumptions!$C$32</f>
        <v>2690.625</v>
      </c>
      <c r="AB28" s="67" t="n">
        <f aca="false">AB9*Assumptions!$C$32</f>
        <v>2690.625</v>
      </c>
    </row>
    <row r="29" customFormat="false" ht="15" hidden="false" customHeight="false" outlineLevel="0" collapsed="false">
      <c r="A29" s="27" t="s">
        <v>1526</v>
      </c>
      <c r="B29" s="63" t="s">
        <v>1268</v>
      </c>
      <c r="C29" s="66" t="n">
        <f aca="false">SUM(E29:P29)</f>
        <v>31435.97</v>
      </c>
      <c r="D29" s="66" t="n">
        <f aca="false">SUM(Q29:AB29)</f>
        <v>32221.875</v>
      </c>
      <c r="E29" s="67" t="n">
        <f aca="false">IF(E$5="A",Inputs_Actuals!E268,Inputs_Actuals!$C$304)</f>
        <v>2560.97</v>
      </c>
      <c r="F29" s="67" t="n">
        <f aca="false">IF(F$5="A",Inputs_Actuals!F268,E30)</f>
        <v>2625</v>
      </c>
      <c r="G29" s="67" t="n">
        <f aca="false">IF(G$5="A",Inputs_Actuals!G268,F30)</f>
        <v>2625</v>
      </c>
      <c r="H29" s="67" t="n">
        <f aca="false">IF(H$5="A",Inputs_Actuals!H268,G30)</f>
        <v>2625</v>
      </c>
      <c r="I29" s="67" t="n">
        <f aca="false">IF(I$5="A",Inputs_Actuals!I268,H30)</f>
        <v>2625</v>
      </c>
      <c r="J29" s="67" t="n">
        <f aca="false">IF(J$5="A",Inputs_Actuals!J268,I30)</f>
        <v>2625</v>
      </c>
      <c r="K29" s="67" t="n">
        <f aca="false">IF(K$5="A",Inputs_Actuals!K268,J30)</f>
        <v>2625</v>
      </c>
      <c r="L29" s="67" t="n">
        <f aca="false">IF(L$5="A",Inputs_Actuals!L268,K30)</f>
        <v>2625</v>
      </c>
      <c r="M29" s="67" t="n">
        <f aca="false">IF(M$5="A",Inputs_Actuals!M268,L30)</f>
        <v>2625</v>
      </c>
      <c r="N29" s="67" t="n">
        <f aca="false">IF(N$5="A",Inputs_Actuals!N268,M30)</f>
        <v>2625</v>
      </c>
      <c r="O29" s="67" t="n">
        <f aca="false">IF(O$5="A",Inputs_Actuals!O268,N30)</f>
        <v>2625</v>
      </c>
      <c r="P29" s="67" t="n">
        <f aca="false">IF(P$5="A",Inputs_Actuals!P268,O30)</f>
        <v>2625</v>
      </c>
      <c r="Q29" s="67" t="n">
        <f aca="false">IF(Q$5="A",Inputs_Actuals!Q268,P30)</f>
        <v>2625</v>
      </c>
      <c r="R29" s="67" t="n">
        <f aca="false">IF(R$5="A",Inputs_Actuals!R268,Q30)</f>
        <v>2690.625</v>
      </c>
      <c r="S29" s="67" t="n">
        <f aca="false">IF(S$5="A",Inputs_Actuals!S268,R30)</f>
        <v>2690.625</v>
      </c>
      <c r="T29" s="67" t="n">
        <f aca="false">IF(T$5="A",Inputs_Actuals!T268,S30)</f>
        <v>2690.625</v>
      </c>
      <c r="U29" s="67" t="n">
        <f aca="false">IF(U$5="A",Inputs_Actuals!U268,T30)</f>
        <v>2690.625</v>
      </c>
      <c r="V29" s="67" t="n">
        <f aca="false">IF(V$5="A",Inputs_Actuals!V268,U30)</f>
        <v>2690.625</v>
      </c>
      <c r="W29" s="67" t="n">
        <f aca="false">IF(W$5="A",Inputs_Actuals!W268,V30)</f>
        <v>2690.625</v>
      </c>
      <c r="X29" s="67" t="n">
        <f aca="false">IF(X$5="A",Inputs_Actuals!X268,W30)</f>
        <v>2690.625</v>
      </c>
      <c r="Y29" s="67" t="n">
        <f aca="false">IF(Y$5="A",Inputs_Actuals!Y268,X30)</f>
        <v>2690.625</v>
      </c>
      <c r="Z29" s="67" t="n">
        <f aca="false">IF(Z$5="A",Inputs_Actuals!Z268,Y30)</f>
        <v>2690.625</v>
      </c>
      <c r="AA29" s="67" t="n">
        <f aca="false">IF(AA$5="A",Inputs_Actuals!AA268,Z30)</f>
        <v>2690.625</v>
      </c>
      <c r="AB29" s="67" t="n">
        <f aca="false">IF(AB$5="A",Inputs_Actuals!AB268,AA30)</f>
        <v>2690.625</v>
      </c>
    </row>
    <row r="30" customFormat="false" ht="15" hidden="false" customHeight="false" outlineLevel="0" collapsed="false">
      <c r="A30" s="59" t="s">
        <v>1527</v>
      </c>
      <c r="B30" s="60"/>
      <c r="C30" s="61" t="n">
        <f aca="false">P30</f>
        <v>2625</v>
      </c>
      <c r="D30" s="61" t="n">
        <f aca="false">AB30</f>
        <v>2690.625</v>
      </c>
      <c r="E30" s="62" t="n">
        <f aca="false">Inputs_Actuals!$C$304+E28-E29</f>
        <v>2625</v>
      </c>
      <c r="F30" s="61" t="n">
        <f aca="false">E30+F28-F29</f>
        <v>2625</v>
      </c>
      <c r="G30" s="61" t="n">
        <f aca="false">F30+G28-G29</f>
        <v>2625</v>
      </c>
      <c r="H30" s="61" t="n">
        <f aca="false">G30+H28-H29</f>
        <v>2625</v>
      </c>
      <c r="I30" s="61" t="n">
        <f aca="false">H30+I28-I29</f>
        <v>2625</v>
      </c>
      <c r="J30" s="61" t="n">
        <f aca="false">I30+J28-J29</f>
        <v>2625</v>
      </c>
      <c r="K30" s="61" t="n">
        <f aca="false">J30+K28-K29</f>
        <v>2625</v>
      </c>
      <c r="L30" s="61" t="n">
        <f aca="false">K30+L28-L29</f>
        <v>2625</v>
      </c>
      <c r="M30" s="61" t="n">
        <f aca="false">L30+M28-M29</f>
        <v>2625</v>
      </c>
      <c r="N30" s="61" t="n">
        <f aca="false">M30+N28-N29</f>
        <v>2625</v>
      </c>
      <c r="O30" s="61" t="n">
        <f aca="false">N30+O28-O29</f>
        <v>2625</v>
      </c>
      <c r="P30" s="61" t="n">
        <f aca="false">O30+P28-P29</f>
        <v>2625</v>
      </c>
      <c r="Q30" s="61" t="n">
        <f aca="false">P30+Q28-Q29</f>
        <v>2690.625</v>
      </c>
      <c r="R30" s="61" t="n">
        <f aca="false">Q30+R28-R29</f>
        <v>2690.625</v>
      </c>
      <c r="S30" s="61" t="n">
        <f aca="false">R30+S28-S29</f>
        <v>2690.625</v>
      </c>
      <c r="T30" s="61" t="n">
        <f aca="false">S30+T28-T29</f>
        <v>2690.625</v>
      </c>
      <c r="U30" s="61" t="n">
        <f aca="false">T30+U28-U29</f>
        <v>2690.625</v>
      </c>
      <c r="V30" s="61" t="n">
        <f aca="false">U30+V28-V29</f>
        <v>2690.625</v>
      </c>
      <c r="W30" s="61" t="n">
        <f aca="false">V30+W28-W29</f>
        <v>2690.625</v>
      </c>
      <c r="X30" s="61" t="n">
        <f aca="false">W30+X28-X29</f>
        <v>2690.625</v>
      </c>
      <c r="Y30" s="61" t="n">
        <f aca="false">X30+Y28-Y29</f>
        <v>2690.625</v>
      </c>
      <c r="Z30" s="61" t="n">
        <f aca="false">Y30+Z28-Z29</f>
        <v>2690.625</v>
      </c>
      <c r="AA30" s="61" t="n">
        <f aca="false">Z30+AA28-AA29</f>
        <v>2690.625</v>
      </c>
      <c r="AB30" s="61" t="n">
        <f aca="false">AA30+AB28-AB29</f>
        <v>2690.625</v>
      </c>
    </row>
    <row r="31" customFormat="false" ht="15" hidden="false" customHeight="false" outlineLevel="0" collapsed="false">
      <c r="A31" s="21" t="s">
        <v>1528</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row>
    <row r="32" customFormat="false" ht="15" hidden="false" customHeight="false" outlineLevel="0" collapsed="false">
      <c r="A32" s="27" t="s">
        <v>1529</v>
      </c>
      <c r="B32" s="63"/>
      <c r="C32" s="66" t="n">
        <f aca="false">SUM(E32:P32)</f>
        <v>186780.341686425</v>
      </c>
      <c r="D32" s="66" t="n">
        <f aca="false">SUM(Q32:AB32)</f>
        <v>200110.088056593</v>
      </c>
      <c r="E32" s="67" t="n">
        <f aca="false">E11+E15+E16*(1+Assumptions!$C$18)+E25</f>
        <v>16102.1185</v>
      </c>
      <c r="F32" s="67" t="n">
        <f aca="false">F11+F15+F16*(1+Assumptions!$C$18)+F25</f>
        <v>15925.6652</v>
      </c>
      <c r="G32" s="67" t="n">
        <f aca="false">G11+G15+G16*(1+Assumptions!$C$18)+G25</f>
        <v>14697.0943</v>
      </c>
      <c r="H32" s="67" t="n">
        <f aca="false">H11+H15+H16*(1+Assumptions!$C$18)+H25</f>
        <v>14607.3129</v>
      </c>
      <c r="I32" s="67" t="n">
        <f aca="false">I11+I15+I16*(1+Assumptions!$C$18)+I25</f>
        <v>15080.9995</v>
      </c>
      <c r="J32" s="67" t="n">
        <f aca="false">J11+J15+J16*(1+Assumptions!$C$18)+J25</f>
        <v>15945.7674</v>
      </c>
      <c r="K32" s="67" t="n">
        <f aca="false">K11+K15+K16*(1+Assumptions!$C$18)+K25</f>
        <v>15615.2122</v>
      </c>
      <c r="L32" s="67" t="n">
        <f aca="false">L11+L15+L16*(1+Assumptions!$C$18)+L25</f>
        <v>16004.1479</v>
      </c>
      <c r="M32" s="67" t="n">
        <f aca="false">M11+M15+M16*(1+Assumptions!$C$18)+M25</f>
        <v>15740.7</v>
      </c>
      <c r="N32" s="67" t="n">
        <f aca="false">N11+N15+N16*(1+Assumptions!$C$18)+N25</f>
        <v>15686.0451666667</v>
      </c>
      <c r="O32" s="67" t="n">
        <f aca="false">O11+O15+O16*(1+Assumptions!$C$18)+O25</f>
        <v>15687.3279730556</v>
      </c>
      <c r="P32" s="67" t="n">
        <f aca="false">P11+P15+P16*(1+Assumptions!$C$18)+P25</f>
        <v>15687.9506467032</v>
      </c>
      <c r="Q32" s="67" t="n">
        <f aca="false">Q11+Q15+Q16*(1+Assumptions!$C$18)+Q25</f>
        <v>16080.1266265054</v>
      </c>
      <c r="R32" s="67" t="n">
        <f aca="false">R11+R15+R16*(1+Assumptions!$C$18)+R25</f>
        <v>16080.1194462073</v>
      </c>
      <c r="S32" s="67" t="n">
        <f aca="false">S11+S15+S16*(1+Assumptions!$C$18)+S25</f>
        <v>16080.1197958184</v>
      </c>
      <c r="T32" s="67" t="n">
        <f aca="false">T11+T15+T16*(1+Assumptions!$C$18)+T25</f>
        <v>16889.8698755097</v>
      </c>
      <c r="U32" s="67" t="n">
        <f aca="false">U11+U15+U16*(1+Assumptions!$C$18)+U25</f>
        <v>16880.4227871678</v>
      </c>
      <c r="V32" s="67" t="n">
        <f aca="false">V11+V15+V16*(1+Assumptions!$C$18)+V25</f>
        <v>16871.0859189354</v>
      </c>
      <c r="W32" s="67" t="n">
        <f aca="false">W11+W15+W16*(1+Assumptions!$C$18)+W25</f>
        <v>16871.3050650955</v>
      </c>
      <c r="X32" s="67" t="n">
        <f aca="false">X11+X15+X16*(1+Assumptions!$C$18)+X25</f>
        <v>16871.4114385196</v>
      </c>
      <c r="Y32" s="67" t="n">
        <f aca="false">Y11+Y15+Y16*(1+Assumptions!$C$18)+Y25</f>
        <v>16871.4076407912</v>
      </c>
      <c r="Z32" s="67" t="n">
        <f aca="false">Z11+Z15+Z16*(1+Assumptions!$C$18)+Z25</f>
        <v>16871.4064440747</v>
      </c>
      <c r="AA32" s="67" t="n">
        <f aca="false">AA11+AA15+AA16*(1+Assumptions!$C$18)+AA25</f>
        <v>16871.4065023432</v>
      </c>
      <c r="AB32" s="67" t="n">
        <f aca="false">AB11+AB15+AB16*(1+Assumptions!$C$18)+AB25</f>
        <v>16871.4065156251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1530</v>
      </c>
    </row>
    <row r="3" customFormat="false" ht="15" hidden="false" customHeight="false" outlineLevel="0" collapsed="false">
      <c r="A3" s="50" t="s">
        <v>1531</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7" t="s">
        <v>1532</v>
      </c>
      <c r="B8" s="63" t="s">
        <v>1533</v>
      </c>
      <c r="C8" s="66" t="n">
        <f aca="false">SUM(E8:P8)</f>
        <v>44899.3778472222</v>
      </c>
      <c r="D8" s="66" t="n">
        <f aca="false">SUM(Q8:AB8)</f>
        <v>42947.628537782</v>
      </c>
      <c r="E8" s="67" t="n">
        <f aca="false">IF(E$5="A",Inputs_Actuals!E255,People!E47*Assumptions!$C$83+Assumptions!$C$84)</f>
        <v>1800</v>
      </c>
      <c r="F8" s="67" t="n">
        <f aca="false">IF(F$5="A",Inputs_Actuals!F255,People!F47*Assumptions!$C$83+Assumptions!$C$84)</f>
        <v>3100</v>
      </c>
      <c r="G8" s="67" t="n">
        <f aca="false">IF(G$5="A",Inputs_Actuals!G255,People!G47*Assumptions!$C$83+Assumptions!$C$84)</f>
        <v>12900</v>
      </c>
      <c r="H8" s="67" t="n">
        <f aca="false">IF(H$5="A",Inputs_Actuals!H255,People!H47*Assumptions!$C$83+Assumptions!$C$84)</f>
        <v>1800</v>
      </c>
      <c r="I8" s="67" t="n">
        <f aca="false">IF(I$5="A",Inputs_Actuals!I255,People!I47*Assumptions!$C$83+Assumptions!$C$84)</f>
        <v>1800</v>
      </c>
      <c r="J8" s="67" t="n">
        <f aca="false">IF(J$5="A",Inputs_Actuals!J255,People!J47*Assumptions!$C$83+Assumptions!$C$84)</f>
        <v>3100</v>
      </c>
      <c r="K8" s="67" t="n">
        <f aca="false">IF(K$5="A",Inputs_Actuals!K255,People!K47*Assumptions!$C$83+Assumptions!$C$84)</f>
        <v>3100</v>
      </c>
      <c r="L8" s="67" t="n">
        <f aca="false">IF(L$5="A",Inputs_Actuals!L255,People!L47*Assumptions!$C$83+Assumptions!$C$84)</f>
        <v>1800</v>
      </c>
      <c r="M8" s="67" t="n">
        <f aca="false">IF(M$5="A",Inputs_Actuals!M255,People!M47*Assumptions!$C$83+Assumptions!$C$84)</f>
        <v>1800</v>
      </c>
      <c r="N8" s="67" t="n">
        <f aca="false">IF(N$5="A",Inputs_Actuals!N255,People!N47*Assumptions!$C$83+Assumptions!$C$84)</f>
        <v>5700</v>
      </c>
      <c r="O8" s="67" t="n">
        <f aca="false">IF(O$5="A",Inputs_Actuals!O255,People!O47*Assumptions!$C$83+Assumptions!$C$84)</f>
        <v>5304.58333333333</v>
      </c>
      <c r="P8" s="67" t="n">
        <f aca="false">IF(P$5="A",Inputs_Actuals!P255,People!P47*Assumptions!$C$83+Assumptions!$C$84)</f>
        <v>2694.79451388889</v>
      </c>
      <c r="Q8" s="67" t="n">
        <f aca="false">IF(Q$5="A",Inputs_Actuals!Q255,People!Q47*Assumptions!$C$83+Assumptions!$C$84)</f>
        <v>7930.61522019676</v>
      </c>
      <c r="R8" s="67" t="n">
        <f aca="false">IF(R$5="A",Inputs_Actuals!R255,People!R47*Assumptions!$C$83+Assumptions!$C$84)</f>
        <v>2760.63552144006</v>
      </c>
      <c r="S8" s="67" t="n">
        <f aca="false">IF(S$5="A",Inputs_Actuals!S255,People!S47*Assumptions!$C$83+Assumptions!$C$84)</f>
        <v>4059.86278169281</v>
      </c>
      <c r="T8" s="67" t="n">
        <f aca="false">IF(T$5="A",Inputs_Actuals!T255,People!T47*Assumptions!$C$83+Assumptions!$C$84)</f>
        <v>4116.9383088851</v>
      </c>
      <c r="U8" s="67" t="n">
        <f aca="false">IF(U$5="A",Inputs_Actuals!U255,People!U47*Assumptions!$C$83+Assumptions!$C$84)</f>
        <v>2816.30403920443</v>
      </c>
      <c r="V8" s="67" t="n">
        <f aca="false">IF(V$5="A",Inputs_Actuals!V255,People!V47*Assumptions!$C$83+Assumptions!$C$84)</f>
        <v>4130.83466178368</v>
      </c>
      <c r="W8" s="67" t="n">
        <f aca="false">IF(W$5="A",Inputs_Actuals!W255,People!W47*Assumptions!$C$83+Assumptions!$C$84)</f>
        <v>2845.83894128163</v>
      </c>
      <c r="X8" s="67" t="n">
        <f aca="false">IF(X$5="A",Inputs_Actuals!X255,People!X47*Assumptions!$C$83+Assumptions!$C$84)</f>
        <v>2845.49423695115</v>
      </c>
      <c r="Y8" s="67" t="n">
        <f aca="false">IF(Y$5="A",Inputs_Actuals!Y255,People!Y47*Assumptions!$C$83+Assumptions!$C$84)</f>
        <v>2860.48987643872</v>
      </c>
      <c r="Z8" s="67" t="n">
        <f aca="false">IF(Z$5="A",Inputs_Actuals!Z255,People!Z47*Assumptions!$C$83+Assumptions!$C$84)</f>
        <v>2860.31894928629</v>
      </c>
      <c r="AA8" s="67" t="n">
        <f aca="false">IF(AA$5="A",Inputs_Actuals!AA255,People!AA47*Assumptions!$C$83+Assumptions!$C$84)</f>
        <v>2860.14599432971</v>
      </c>
      <c r="AB8" s="67" t="n">
        <f aca="false">IF(AB$5="A",Inputs_Actuals!AB255,People!AB47*Assumptions!$C$83+Assumptions!$C$84)</f>
        <v>2860.15000629167</v>
      </c>
    </row>
    <row r="9" customFormat="false" ht="15" hidden="false" customHeight="false" outlineLevel="0" collapsed="false">
      <c r="A9" s="27" t="s">
        <v>1534</v>
      </c>
      <c r="B9" s="63" t="s">
        <v>1535</v>
      </c>
      <c r="C9" s="66" t="n">
        <f aca="false">SUM(E9:P9)</f>
        <v>37200</v>
      </c>
      <c r="D9" s="66" t="n">
        <f aca="false">SUM(Q9:AB9)</f>
        <v>27800</v>
      </c>
      <c r="E9" s="67" t="n">
        <f aca="false">MIN(Assumptions!$C$172,MAX(0,Inputs_Actuals!$C$286-Inputs_Actuals!$C$287-Assumptions!$C$172*0))</f>
        <v>3100</v>
      </c>
      <c r="F9" s="67" t="n">
        <f aca="false">MIN(Assumptions!$C$172,MAX(0,Inputs_Actuals!$C$286-Inputs_Actuals!$C$287-Assumptions!$C$172*1))</f>
        <v>3100</v>
      </c>
      <c r="G9" s="67" t="n">
        <f aca="false">MIN(Assumptions!$C$172,MAX(0,Inputs_Actuals!$C$286-Inputs_Actuals!$C$287-Assumptions!$C$172*2))</f>
        <v>3100</v>
      </c>
      <c r="H9" s="67" t="n">
        <f aca="false">MIN(Assumptions!$C$172,MAX(0,Inputs_Actuals!$C$286-Inputs_Actuals!$C$287-Assumptions!$C$172*3))</f>
        <v>3100</v>
      </c>
      <c r="I9" s="67" t="n">
        <f aca="false">MIN(Assumptions!$C$172,MAX(0,Inputs_Actuals!$C$286-Inputs_Actuals!$C$287-Assumptions!$C$172*4))</f>
        <v>3100</v>
      </c>
      <c r="J9" s="67" t="n">
        <f aca="false">MIN(Assumptions!$C$172,MAX(0,Inputs_Actuals!$C$286-Inputs_Actuals!$C$287-Assumptions!$C$172*5))</f>
        <v>3100</v>
      </c>
      <c r="K9" s="67" t="n">
        <f aca="false">MIN(Assumptions!$C$172,MAX(0,Inputs_Actuals!$C$286-Inputs_Actuals!$C$287-Assumptions!$C$172*6))</f>
        <v>3100</v>
      </c>
      <c r="L9" s="67" t="n">
        <f aca="false">MIN(Assumptions!$C$172,MAX(0,Inputs_Actuals!$C$286-Inputs_Actuals!$C$287-Assumptions!$C$172*7))</f>
        <v>3100</v>
      </c>
      <c r="M9" s="67" t="n">
        <f aca="false">MIN(Assumptions!$C$172,MAX(0,Inputs_Actuals!$C$286-Inputs_Actuals!$C$287-Assumptions!$C$172*8))</f>
        <v>3100</v>
      </c>
      <c r="N9" s="67" t="n">
        <f aca="false">MIN(Assumptions!$C$172,MAX(0,Inputs_Actuals!$C$286-Inputs_Actuals!$C$287-Assumptions!$C$172*9))</f>
        <v>3100</v>
      </c>
      <c r="O9" s="67" t="n">
        <f aca="false">MIN(Assumptions!$C$172,MAX(0,Inputs_Actuals!$C$286-Inputs_Actuals!$C$287-Assumptions!$C$172*10))</f>
        <v>3100</v>
      </c>
      <c r="P9" s="67" t="n">
        <f aca="false">MIN(Assumptions!$C$172,MAX(0,Inputs_Actuals!$C$286-Inputs_Actuals!$C$287-Assumptions!$C$172*11))</f>
        <v>3100</v>
      </c>
      <c r="Q9" s="67" t="n">
        <f aca="false">MIN(Assumptions!$C$172,MAX(0,Inputs_Actuals!$C$286-Inputs_Actuals!$C$287-Assumptions!$C$172*12))</f>
        <v>3100</v>
      </c>
      <c r="R9" s="67" t="n">
        <f aca="false">MIN(Assumptions!$C$172,MAX(0,Inputs_Actuals!$C$286-Inputs_Actuals!$C$287-Assumptions!$C$172*13))</f>
        <v>3100</v>
      </c>
      <c r="S9" s="67" t="n">
        <f aca="false">MIN(Assumptions!$C$172,MAX(0,Inputs_Actuals!$C$286-Inputs_Actuals!$C$287-Assumptions!$C$172*14))</f>
        <v>3100</v>
      </c>
      <c r="T9" s="67" t="n">
        <f aca="false">MIN(Assumptions!$C$172,MAX(0,Inputs_Actuals!$C$286-Inputs_Actuals!$C$287-Assumptions!$C$172*15))</f>
        <v>3100</v>
      </c>
      <c r="U9" s="67" t="n">
        <f aca="false">MIN(Assumptions!$C$172,MAX(0,Inputs_Actuals!$C$286-Inputs_Actuals!$C$287-Assumptions!$C$172*16))</f>
        <v>3100</v>
      </c>
      <c r="V9" s="67" t="n">
        <f aca="false">MIN(Assumptions!$C$172,MAX(0,Inputs_Actuals!$C$286-Inputs_Actuals!$C$287-Assumptions!$C$172*17))</f>
        <v>3100</v>
      </c>
      <c r="W9" s="67" t="n">
        <f aca="false">MIN(Assumptions!$C$172,MAX(0,Inputs_Actuals!$C$286-Inputs_Actuals!$C$287-Assumptions!$C$172*18))</f>
        <v>3100</v>
      </c>
      <c r="X9" s="67" t="n">
        <f aca="false">MIN(Assumptions!$C$172,MAX(0,Inputs_Actuals!$C$286-Inputs_Actuals!$C$287-Assumptions!$C$172*19))</f>
        <v>3100</v>
      </c>
      <c r="Y9" s="67" t="n">
        <f aca="false">MIN(Assumptions!$C$172,MAX(0,Inputs_Actuals!$C$286-Inputs_Actuals!$C$287-Assumptions!$C$172*20))</f>
        <v>3000</v>
      </c>
      <c r="Z9" s="67" t="n">
        <f aca="false">MIN(Assumptions!$C$172,MAX(0,Inputs_Actuals!$C$286-Inputs_Actuals!$C$287-Assumptions!$C$172*21))</f>
        <v>0</v>
      </c>
      <c r="AA9" s="67" t="n">
        <f aca="false">MIN(Assumptions!$C$172,MAX(0,Inputs_Actuals!$C$286-Inputs_Actuals!$C$287-Assumptions!$C$172*22))</f>
        <v>0</v>
      </c>
      <c r="AB9" s="67" t="n">
        <f aca="false">MIN(Assumptions!$C$172,MAX(0,Inputs_Actuals!$C$286-Inputs_Actuals!$C$287-Assumptions!$C$172*23))</f>
        <v>0</v>
      </c>
    </row>
    <row r="10" customFormat="false" ht="15" hidden="false" customHeight="false" outlineLevel="0" collapsed="false">
      <c r="A10" s="27" t="s">
        <v>1536</v>
      </c>
      <c r="B10" s="63"/>
      <c r="C10" s="66" t="n">
        <f aca="false">SUM(E10:P10)</f>
        <v>7147.34953703704</v>
      </c>
      <c r="D10" s="66" t="n">
        <f aca="false">SUM(Q10:AB10)</f>
        <v>22510.6247147531</v>
      </c>
      <c r="E10" s="76" t="n">
        <f aca="false">0</f>
        <v>0</v>
      </c>
      <c r="F10" s="76" t="n">
        <f aca="false">SUM(E8:E8)/36</f>
        <v>50</v>
      </c>
      <c r="G10" s="76" t="n">
        <f aca="false">SUM(E8:F8)/36</f>
        <v>136.111111111111</v>
      </c>
      <c r="H10" s="76" t="n">
        <f aca="false">SUM(E8:G8)/36</f>
        <v>494.444444444444</v>
      </c>
      <c r="I10" s="76" t="n">
        <f aca="false">SUM(E8:H8)/36</f>
        <v>544.444444444445</v>
      </c>
      <c r="J10" s="76" t="n">
        <f aca="false">SUM(E8:I8)/36</f>
        <v>594.444444444445</v>
      </c>
      <c r="K10" s="76" t="n">
        <f aca="false">SUM(E8:J8)/36</f>
        <v>680.555555555556</v>
      </c>
      <c r="L10" s="76" t="n">
        <f aca="false">SUM(E8:K8)/36</f>
        <v>766.666666666667</v>
      </c>
      <c r="M10" s="76" t="n">
        <f aca="false">SUM(E8:L8)/36</f>
        <v>816.666666666667</v>
      </c>
      <c r="N10" s="76" t="n">
        <f aca="false">SUM(E8:M8)/36</f>
        <v>866.666666666667</v>
      </c>
      <c r="O10" s="76" t="n">
        <f aca="false">SUM(E8:N8)/36</f>
        <v>1025</v>
      </c>
      <c r="P10" s="76" t="n">
        <f aca="false">SUM(E8:O8)/36</f>
        <v>1172.34953703704</v>
      </c>
      <c r="Q10" s="76" t="n">
        <f aca="false">SUM(E8:P8)/36</f>
        <v>1247.20494020062</v>
      </c>
      <c r="R10" s="76" t="n">
        <f aca="false">SUM(E8:Q8)/36</f>
        <v>1467.49980742831</v>
      </c>
      <c r="S10" s="76" t="n">
        <f aca="false">SUM(E8:R8)/36</f>
        <v>1544.18412746831</v>
      </c>
      <c r="T10" s="76" t="n">
        <f aca="false">SUM(E8:S8)/36</f>
        <v>1656.95809362644</v>
      </c>
      <c r="U10" s="76" t="n">
        <f aca="false">SUM(E8:T8)/36</f>
        <v>1771.31749109547</v>
      </c>
      <c r="V10" s="76" t="n">
        <f aca="false">SUM(E8:U8)/36</f>
        <v>1849.54815885115</v>
      </c>
      <c r="W10" s="76" t="n">
        <f aca="false">SUM(E8:V8)/36</f>
        <v>1964.29356612292</v>
      </c>
      <c r="X10" s="76" t="n">
        <f aca="false">SUM(E8:W8)/36</f>
        <v>2043.34464782519</v>
      </c>
      <c r="Y10" s="76" t="n">
        <f aca="false">SUM(E8:X8)/36</f>
        <v>2122.38615440716</v>
      </c>
      <c r="Z10" s="76" t="n">
        <f aca="false">SUM(E8:Y8)/36</f>
        <v>2201.84420653046</v>
      </c>
      <c r="AA10" s="76" t="n">
        <f aca="false">SUM(E8:Z8)/36</f>
        <v>2281.2975106773</v>
      </c>
      <c r="AB10" s="76" t="n">
        <f aca="false">SUM(E8:AA8)/36</f>
        <v>2360.74601051979</v>
      </c>
    </row>
    <row r="11" customFormat="false" ht="15" hidden="false" customHeight="false" outlineLevel="0" collapsed="false">
      <c r="A11" s="27" t="s">
        <v>1537</v>
      </c>
      <c r="B11" s="63"/>
      <c r="C11" s="66" t="n">
        <f aca="false">SUM(E11:P11)</f>
        <v>14000.04</v>
      </c>
      <c r="D11" s="66" t="n">
        <f aca="false">SUM(Q11:AB11)</f>
        <v>14000.04</v>
      </c>
      <c r="E11" s="67" t="n">
        <f aca="false">MIN(Assumptions!$C$173,MAX(0,Inputs_Actuals!$C$288-Inputs_Actuals!$C$289-Assumptions!$C$173*0))</f>
        <v>1166.67</v>
      </c>
      <c r="F11" s="67" t="n">
        <f aca="false">MIN(Assumptions!$C$173,MAX(0,Inputs_Actuals!$C$288-Inputs_Actuals!$C$289-Assumptions!$C$173*1))</f>
        <v>1166.67</v>
      </c>
      <c r="G11" s="67" t="n">
        <f aca="false">MIN(Assumptions!$C$173,MAX(0,Inputs_Actuals!$C$288-Inputs_Actuals!$C$289-Assumptions!$C$173*2))</f>
        <v>1166.67</v>
      </c>
      <c r="H11" s="67" t="n">
        <f aca="false">MIN(Assumptions!$C$173,MAX(0,Inputs_Actuals!$C$288-Inputs_Actuals!$C$289-Assumptions!$C$173*3))</f>
        <v>1166.67</v>
      </c>
      <c r="I11" s="67" t="n">
        <f aca="false">MIN(Assumptions!$C$173,MAX(0,Inputs_Actuals!$C$288-Inputs_Actuals!$C$289-Assumptions!$C$173*4))</f>
        <v>1166.67</v>
      </c>
      <c r="J11" s="67" t="n">
        <f aca="false">MIN(Assumptions!$C$173,MAX(0,Inputs_Actuals!$C$288-Inputs_Actuals!$C$289-Assumptions!$C$173*5))</f>
        <v>1166.67</v>
      </c>
      <c r="K11" s="67" t="n">
        <f aca="false">MIN(Assumptions!$C$173,MAX(0,Inputs_Actuals!$C$288-Inputs_Actuals!$C$289-Assumptions!$C$173*6))</f>
        <v>1166.67</v>
      </c>
      <c r="L11" s="67" t="n">
        <f aca="false">MIN(Assumptions!$C$173,MAX(0,Inputs_Actuals!$C$288-Inputs_Actuals!$C$289-Assumptions!$C$173*7))</f>
        <v>1166.67</v>
      </c>
      <c r="M11" s="67" t="n">
        <f aca="false">MIN(Assumptions!$C$173,MAX(0,Inputs_Actuals!$C$288-Inputs_Actuals!$C$289-Assumptions!$C$173*8))</f>
        <v>1166.67</v>
      </c>
      <c r="N11" s="67" t="n">
        <f aca="false">MIN(Assumptions!$C$173,MAX(0,Inputs_Actuals!$C$288-Inputs_Actuals!$C$289-Assumptions!$C$173*9))</f>
        <v>1166.67</v>
      </c>
      <c r="O11" s="67" t="n">
        <f aca="false">MIN(Assumptions!$C$173,MAX(0,Inputs_Actuals!$C$288-Inputs_Actuals!$C$289-Assumptions!$C$173*10))</f>
        <v>1166.67</v>
      </c>
      <c r="P11" s="67" t="n">
        <f aca="false">MIN(Assumptions!$C$173,MAX(0,Inputs_Actuals!$C$288-Inputs_Actuals!$C$289-Assumptions!$C$173*11))</f>
        <v>1166.67</v>
      </c>
      <c r="Q11" s="67" t="n">
        <f aca="false">MIN(Assumptions!$C$173,MAX(0,Inputs_Actuals!$C$288-Inputs_Actuals!$C$289-Assumptions!$C$173*12))</f>
        <v>1166.67</v>
      </c>
      <c r="R11" s="67" t="n">
        <f aca="false">MIN(Assumptions!$C$173,MAX(0,Inputs_Actuals!$C$288-Inputs_Actuals!$C$289-Assumptions!$C$173*13))</f>
        <v>1166.67</v>
      </c>
      <c r="S11" s="67" t="n">
        <f aca="false">MIN(Assumptions!$C$173,MAX(0,Inputs_Actuals!$C$288-Inputs_Actuals!$C$289-Assumptions!$C$173*14))</f>
        <v>1166.67</v>
      </c>
      <c r="T11" s="67" t="n">
        <f aca="false">MIN(Assumptions!$C$173,MAX(0,Inputs_Actuals!$C$288-Inputs_Actuals!$C$289-Assumptions!$C$173*15))</f>
        <v>1166.67</v>
      </c>
      <c r="U11" s="67" t="n">
        <f aca="false">MIN(Assumptions!$C$173,MAX(0,Inputs_Actuals!$C$288-Inputs_Actuals!$C$289-Assumptions!$C$173*16))</f>
        <v>1166.67</v>
      </c>
      <c r="V11" s="67" t="n">
        <f aca="false">MIN(Assumptions!$C$173,MAX(0,Inputs_Actuals!$C$288-Inputs_Actuals!$C$289-Assumptions!$C$173*17))</f>
        <v>1166.67</v>
      </c>
      <c r="W11" s="67" t="n">
        <f aca="false">MIN(Assumptions!$C$173,MAX(0,Inputs_Actuals!$C$288-Inputs_Actuals!$C$289-Assumptions!$C$173*18))</f>
        <v>1166.67</v>
      </c>
      <c r="X11" s="67" t="n">
        <f aca="false">MIN(Assumptions!$C$173,MAX(0,Inputs_Actuals!$C$288-Inputs_Actuals!$C$289-Assumptions!$C$173*19))</f>
        <v>1166.67</v>
      </c>
      <c r="Y11" s="67" t="n">
        <f aca="false">MIN(Assumptions!$C$173,MAX(0,Inputs_Actuals!$C$288-Inputs_Actuals!$C$289-Assumptions!$C$173*20))</f>
        <v>1166.67</v>
      </c>
      <c r="Z11" s="67" t="n">
        <f aca="false">MIN(Assumptions!$C$173,MAX(0,Inputs_Actuals!$C$288-Inputs_Actuals!$C$289-Assumptions!$C$173*21))</f>
        <v>1166.67</v>
      </c>
      <c r="AA11" s="67" t="n">
        <f aca="false">MIN(Assumptions!$C$173,MAX(0,Inputs_Actuals!$C$288-Inputs_Actuals!$C$289-Assumptions!$C$173*22))</f>
        <v>1166.67</v>
      </c>
      <c r="AB11" s="67" t="n">
        <f aca="false">MIN(Assumptions!$C$173,MAX(0,Inputs_Actuals!$C$288-Inputs_Actuals!$C$289-Assumptions!$C$173*23))</f>
        <v>1166.67</v>
      </c>
    </row>
    <row r="12" customFormat="false" ht="15" hidden="false" customHeight="false" outlineLevel="0" collapsed="false">
      <c r="A12" s="59" t="s">
        <v>1538</v>
      </c>
      <c r="B12" s="60"/>
      <c r="C12" s="61" t="n">
        <f aca="false">SUM(E12:P12)</f>
        <v>58347.389537037</v>
      </c>
      <c r="D12" s="61" t="n">
        <f aca="false">SUM(Q12:AB12)</f>
        <v>64310.6647147531</v>
      </c>
      <c r="E12" s="61" t="n">
        <f aca="false">E9+E10+E11</f>
        <v>4266.67</v>
      </c>
      <c r="F12" s="61" t="n">
        <f aca="false">F9+F10+F11</f>
        <v>4316.67</v>
      </c>
      <c r="G12" s="61" t="n">
        <f aca="false">G9+G10+G11</f>
        <v>4402.78111111111</v>
      </c>
      <c r="H12" s="61" t="n">
        <f aca="false">H9+H10+H11</f>
        <v>4761.11444444444</v>
      </c>
      <c r="I12" s="61" t="n">
        <f aca="false">I9+I10+I11</f>
        <v>4811.11444444444</v>
      </c>
      <c r="J12" s="61" t="n">
        <f aca="false">J9+J10+J11</f>
        <v>4861.11444444444</v>
      </c>
      <c r="K12" s="61" t="n">
        <f aca="false">K9+K10+K11</f>
        <v>4947.22555555556</v>
      </c>
      <c r="L12" s="61" t="n">
        <f aca="false">L9+L10+L11</f>
        <v>5033.33666666667</v>
      </c>
      <c r="M12" s="61" t="n">
        <f aca="false">M9+M10+M11</f>
        <v>5083.33666666667</v>
      </c>
      <c r="N12" s="61" t="n">
        <f aca="false">N9+N10+N11</f>
        <v>5133.33666666667</v>
      </c>
      <c r="O12" s="61" t="n">
        <f aca="false">O9+O10+O11</f>
        <v>5291.67</v>
      </c>
      <c r="P12" s="61" t="n">
        <f aca="false">P9+P10+P11</f>
        <v>5439.01953703704</v>
      </c>
      <c r="Q12" s="61" t="n">
        <f aca="false">Q9+Q10+Q11</f>
        <v>5513.87494020062</v>
      </c>
      <c r="R12" s="61" t="n">
        <f aca="false">R9+R10+R11</f>
        <v>5734.16980742831</v>
      </c>
      <c r="S12" s="61" t="n">
        <f aca="false">S9+S10+S11</f>
        <v>5810.85412746831</v>
      </c>
      <c r="T12" s="61" t="n">
        <f aca="false">T9+T10+T11</f>
        <v>5923.62809362644</v>
      </c>
      <c r="U12" s="61" t="n">
        <f aca="false">U9+U10+U11</f>
        <v>6037.98749109547</v>
      </c>
      <c r="V12" s="61" t="n">
        <f aca="false">V9+V10+V11</f>
        <v>6116.21815885115</v>
      </c>
      <c r="W12" s="61" t="n">
        <f aca="false">W9+W10+W11</f>
        <v>6230.96356612292</v>
      </c>
      <c r="X12" s="61" t="n">
        <f aca="false">X9+X10+X11</f>
        <v>6310.01464782519</v>
      </c>
      <c r="Y12" s="61" t="n">
        <f aca="false">Y9+Y10+Y11</f>
        <v>6289.05615440716</v>
      </c>
      <c r="Z12" s="61" t="n">
        <f aca="false">Z9+Z10+Z11</f>
        <v>3368.51420653046</v>
      </c>
      <c r="AA12" s="61" t="n">
        <f aca="false">AA9+AA10+AA11</f>
        <v>3447.9675106773</v>
      </c>
      <c r="AB12" s="61" t="n">
        <f aca="false">AB9+AB10+AB11</f>
        <v>3527.41601051979</v>
      </c>
    </row>
    <row r="13" customFormat="false" ht="15" hidden="false" customHeight="false" outlineLevel="0" collapsed="false">
      <c r="A13" s="59" t="s">
        <v>1539</v>
      </c>
      <c r="B13" s="60"/>
      <c r="C13" s="61" t="n">
        <f aca="false">SUM(E13:P13)</f>
        <v>60000</v>
      </c>
      <c r="D13" s="61" t="n">
        <f aca="false">SUM(Q13:AB13)</f>
        <v>60000</v>
      </c>
      <c r="E13" s="62" t="n">
        <f aca="false">MIN(Assumptions!$C$174,MAX(0,Inputs_Actuals!$C$290-Inputs_Actuals!$C$291-Assumptions!$C$174*0))</f>
        <v>5000</v>
      </c>
      <c r="F13" s="62" t="n">
        <f aca="false">MIN(Assumptions!$C$174,MAX(0,Inputs_Actuals!$C$290-Inputs_Actuals!$C$291-Assumptions!$C$174*1))</f>
        <v>5000</v>
      </c>
      <c r="G13" s="62" t="n">
        <f aca="false">MIN(Assumptions!$C$174,MAX(0,Inputs_Actuals!$C$290-Inputs_Actuals!$C$291-Assumptions!$C$174*2))</f>
        <v>5000</v>
      </c>
      <c r="H13" s="62" t="n">
        <f aca="false">MIN(Assumptions!$C$174,MAX(0,Inputs_Actuals!$C$290-Inputs_Actuals!$C$291-Assumptions!$C$174*3))</f>
        <v>5000</v>
      </c>
      <c r="I13" s="62" t="n">
        <f aca="false">MIN(Assumptions!$C$174,MAX(0,Inputs_Actuals!$C$290-Inputs_Actuals!$C$291-Assumptions!$C$174*4))</f>
        <v>5000</v>
      </c>
      <c r="J13" s="62" t="n">
        <f aca="false">MIN(Assumptions!$C$174,MAX(0,Inputs_Actuals!$C$290-Inputs_Actuals!$C$291-Assumptions!$C$174*5))</f>
        <v>5000</v>
      </c>
      <c r="K13" s="62" t="n">
        <f aca="false">MIN(Assumptions!$C$174,MAX(0,Inputs_Actuals!$C$290-Inputs_Actuals!$C$291-Assumptions!$C$174*6))</f>
        <v>5000</v>
      </c>
      <c r="L13" s="62" t="n">
        <f aca="false">MIN(Assumptions!$C$174,MAX(0,Inputs_Actuals!$C$290-Inputs_Actuals!$C$291-Assumptions!$C$174*7))</f>
        <v>5000</v>
      </c>
      <c r="M13" s="62" t="n">
        <f aca="false">MIN(Assumptions!$C$174,MAX(0,Inputs_Actuals!$C$290-Inputs_Actuals!$C$291-Assumptions!$C$174*8))</f>
        <v>5000</v>
      </c>
      <c r="N13" s="62" t="n">
        <f aca="false">MIN(Assumptions!$C$174,MAX(0,Inputs_Actuals!$C$290-Inputs_Actuals!$C$291-Assumptions!$C$174*9))</f>
        <v>5000</v>
      </c>
      <c r="O13" s="62" t="n">
        <f aca="false">MIN(Assumptions!$C$174,MAX(0,Inputs_Actuals!$C$290-Inputs_Actuals!$C$291-Assumptions!$C$174*10))</f>
        <v>5000</v>
      </c>
      <c r="P13" s="62" t="n">
        <f aca="false">MIN(Assumptions!$C$174,MAX(0,Inputs_Actuals!$C$290-Inputs_Actuals!$C$291-Assumptions!$C$174*11))</f>
        <v>5000</v>
      </c>
      <c r="Q13" s="62" t="n">
        <f aca="false">MIN(Assumptions!$C$174,MAX(0,Inputs_Actuals!$C$290-Inputs_Actuals!$C$291-Assumptions!$C$174*12))</f>
        <v>5000</v>
      </c>
      <c r="R13" s="62" t="n">
        <f aca="false">MIN(Assumptions!$C$174,MAX(0,Inputs_Actuals!$C$290-Inputs_Actuals!$C$291-Assumptions!$C$174*13))</f>
        <v>5000</v>
      </c>
      <c r="S13" s="62" t="n">
        <f aca="false">MIN(Assumptions!$C$174,MAX(0,Inputs_Actuals!$C$290-Inputs_Actuals!$C$291-Assumptions!$C$174*14))</f>
        <v>5000</v>
      </c>
      <c r="T13" s="62" t="n">
        <f aca="false">MIN(Assumptions!$C$174,MAX(0,Inputs_Actuals!$C$290-Inputs_Actuals!$C$291-Assumptions!$C$174*15))</f>
        <v>5000</v>
      </c>
      <c r="U13" s="62" t="n">
        <f aca="false">MIN(Assumptions!$C$174,MAX(0,Inputs_Actuals!$C$290-Inputs_Actuals!$C$291-Assumptions!$C$174*16))</f>
        <v>5000</v>
      </c>
      <c r="V13" s="62" t="n">
        <f aca="false">MIN(Assumptions!$C$174,MAX(0,Inputs_Actuals!$C$290-Inputs_Actuals!$C$291-Assumptions!$C$174*17))</f>
        <v>5000</v>
      </c>
      <c r="W13" s="62" t="n">
        <f aca="false">MIN(Assumptions!$C$174,MAX(0,Inputs_Actuals!$C$290-Inputs_Actuals!$C$291-Assumptions!$C$174*18))</f>
        <v>5000</v>
      </c>
      <c r="X13" s="62" t="n">
        <f aca="false">MIN(Assumptions!$C$174,MAX(0,Inputs_Actuals!$C$290-Inputs_Actuals!$C$291-Assumptions!$C$174*19))</f>
        <v>5000</v>
      </c>
      <c r="Y13" s="62" t="n">
        <f aca="false">MIN(Assumptions!$C$174,MAX(0,Inputs_Actuals!$C$290-Inputs_Actuals!$C$291-Assumptions!$C$174*20))</f>
        <v>5000</v>
      </c>
      <c r="Z13" s="62" t="n">
        <f aca="false">MIN(Assumptions!$C$174,MAX(0,Inputs_Actuals!$C$290-Inputs_Actuals!$C$291-Assumptions!$C$174*21))</f>
        <v>5000</v>
      </c>
      <c r="AA13" s="62" t="n">
        <f aca="false">MIN(Assumptions!$C$174,MAX(0,Inputs_Actuals!$C$290-Inputs_Actuals!$C$291-Assumptions!$C$174*22))</f>
        <v>5000</v>
      </c>
      <c r="AB13" s="62" t="n">
        <f aca="false">MIN(Assumptions!$C$174,MAX(0,Inputs_Actuals!$C$290-Inputs_Actuals!$C$291-Assumptions!$C$174*23))</f>
        <v>5000</v>
      </c>
    </row>
    <row r="14" customFormat="false" ht="15" hidden="false" customHeight="false" outlineLevel="0" collapsed="false">
      <c r="A14" s="59" t="s">
        <v>1540</v>
      </c>
      <c r="B14" s="60"/>
      <c r="C14" s="61" t="n">
        <f aca="false">SUM(E14:P14)</f>
        <v>118347.389537037</v>
      </c>
      <c r="D14" s="61" t="n">
        <f aca="false">SUM(Q14:AB14)</f>
        <v>124310.664714753</v>
      </c>
      <c r="E14" s="61" t="n">
        <f aca="false">E12+E13</f>
        <v>9266.67</v>
      </c>
      <c r="F14" s="61" t="n">
        <f aca="false">F12+F13</f>
        <v>9316.67</v>
      </c>
      <c r="G14" s="61" t="n">
        <f aca="false">G12+G13</f>
        <v>9402.78111111111</v>
      </c>
      <c r="H14" s="61" t="n">
        <f aca="false">H12+H13</f>
        <v>9761.11444444444</v>
      </c>
      <c r="I14" s="61" t="n">
        <f aca="false">I12+I13</f>
        <v>9811.11444444444</v>
      </c>
      <c r="J14" s="61" t="n">
        <f aca="false">J12+J13</f>
        <v>9861.11444444444</v>
      </c>
      <c r="K14" s="61" t="n">
        <f aca="false">K12+K13</f>
        <v>9947.22555555556</v>
      </c>
      <c r="L14" s="61" t="n">
        <f aca="false">L12+L13</f>
        <v>10033.3366666667</v>
      </c>
      <c r="M14" s="61" t="n">
        <f aca="false">M12+M13</f>
        <v>10083.3366666667</v>
      </c>
      <c r="N14" s="61" t="n">
        <f aca="false">N12+N13</f>
        <v>10133.3366666667</v>
      </c>
      <c r="O14" s="61" t="n">
        <f aca="false">O12+O13</f>
        <v>10291.67</v>
      </c>
      <c r="P14" s="61" t="n">
        <f aca="false">P12+P13</f>
        <v>10439.019537037</v>
      </c>
      <c r="Q14" s="61" t="n">
        <f aca="false">Q12+Q13</f>
        <v>10513.8749402006</v>
      </c>
      <c r="R14" s="61" t="n">
        <f aca="false">R12+R13</f>
        <v>10734.1698074283</v>
      </c>
      <c r="S14" s="61" t="n">
        <f aca="false">S12+S13</f>
        <v>10810.8541274683</v>
      </c>
      <c r="T14" s="61" t="n">
        <f aca="false">T12+T13</f>
        <v>10923.6280936264</v>
      </c>
      <c r="U14" s="61" t="n">
        <f aca="false">U12+U13</f>
        <v>11037.9874910955</v>
      </c>
      <c r="V14" s="61" t="n">
        <f aca="false">V12+V13</f>
        <v>11116.2181588511</v>
      </c>
      <c r="W14" s="61" t="n">
        <f aca="false">W12+W13</f>
        <v>11230.9635661229</v>
      </c>
      <c r="X14" s="61" t="n">
        <f aca="false">X12+X13</f>
        <v>11310.0146478252</v>
      </c>
      <c r="Y14" s="61" t="n">
        <f aca="false">Y12+Y13</f>
        <v>11289.0561544072</v>
      </c>
      <c r="Z14" s="61" t="n">
        <f aca="false">Z12+Z13</f>
        <v>8368.51420653046</v>
      </c>
      <c r="AA14" s="61" t="n">
        <f aca="false">AA12+AA13</f>
        <v>8447.9675106773</v>
      </c>
      <c r="AB14" s="61" t="n">
        <f aca="false">AB12+AB13</f>
        <v>8527.41601051979</v>
      </c>
    </row>
    <row r="15" customFormat="false" ht="15" hidden="false" customHeight="false" outlineLevel="0" collapsed="false">
      <c r="A15" s="59" t="s">
        <v>1541</v>
      </c>
      <c r="B15" s="60"/>
      <c r="C15" s="61" t="n">
        <f aca="false">P15</f>
        <v>107551.988310185</v>
      </c>
      <c r="D15" s="61" t="n">
        <f aca="false">AB15</f>
        <v>86188.9521332141</v>
      </c>
      <c r="E15" s="62" t="n">
        <f aca="false">(Inputs_Actuals!$C$286-Inputs_Actuals!$C$287+Inputs_Actuals!$C$288-Inputs_Actuals!$C$289)+E8-E12</f>
        <v>118533.33</v>
      </c>
      <c r="F15" s="61" t="n">
        <f aca="false">E15+F8-F12</f>
        <v>117316.66</v>
      </c>
      <c r="G15" s="61" t="n">
        <f aca="false">F15+G8-G12</f>
        <v>125813.878888889</v>
      </c>
      <c r="H15" s="61" t="n">
        <f aca="false">G15+H8-H12</f>
        <v>122852.764444444</v>
      </c>
      <c r="I15" s="61" t="n">
        <f aca="false">H15+I8-I12</f>
        <v>119841.65</v>
      </c>
      <c r="J15" s="61" t="n">
        <f aca="false">I15+J8-J12</f>
        <v>118080.535555556</v>
      </c>
      <c r="K15" s="61" t="n">
        <f aca="false">J15+K8-K12</f>
        <v>116233.31</v>
      </c>
      <c r="L15" s="61" t="n">
        <f aca="false">K15+L8-L12</f>
        <v>112999.973333333</v>
      </c>
      <c r="M15" s="61" t="n">
        <f aca="false">L15+M8-M12</f>
        <v>109716.636666667</v>
      </c>
      <c r="N15" s="61" t="n">
        <f aca="false">M15+N8-N12</f>
        <v>110283.3</v>
      </c>
      <c r="O15" s="61" t="n">
        <f aca="false">N15+O8-O12</f>
        <v>110296.213333333</v>
      </c>
      <c r="P15" s="61" t="n">
        <f aca="false">O15+P8-P12</f>
        <v>107551.988310185</v>
      </c>
      <c r="Q15" s="61" t="n">
        <f aca="false">P15+Q8-Q12</f>
        <v>109968.728590181</v>
      </c>
      <c r="R15" s="61" t="n">
        <f aca="false">Q15+R8-R12</f>
        <v>106995.194304193</v>
      </c>
      <c r="S15" s="61" t="n">
        <f aca="false">R15+S8-S12</f>
        <v>105244.202958418</v>
      </c>
      <c r="T15" s="61" t="n">
        <f aca="false">S15+T8-T12</f>
        <v>103437.513173676</v>
      </c>
      <c r="U15" s="61" t="n">
        <f aca="false">T15+U8-U12</f>
        <v>100215.829721785</v>
      </c>
      <c r="V15" s="61" t="n">
        <f aca="false">U15+V8-V12</f>
        <v>98230.4462247177</v>
      </c>
      <c r="W15" s="61" t="n">
        <f aca="false">V15+W8-W12</f>
        <v>94845.3215998764</v>
      </c>
      <c r="X15" s="61" t="n">
        <f aca="false">W15+X8-X12</f>
        <v>91380.8011890024</v>
      </c>
      <c r="Y15" s="61" t="n">
        <f aca="false">X15+Y8-Y12</f>
        <v>87952.2349110339</v>
      </c>
      <c r="Z15" s="61" t="n">
        <f aca="false">Y15+Z8-Z12</f>
        <v>87444.0396537898</v>
      </c>
      <c r="AA15" s="61" t="n">
        <f aca="false">Z15+AA8-AA12</f>
        <v>86856.2181374422</v>
      </c>
      <c r="AB15" s="61" t="n">
        <f aca="false">AA15+AB8-AB12</f>
        <v>86188.9521332141</v>
      </c>
    </row>
    <row r="16" customFormat="false" ht="15" hidden="false" customHeight="false" outlineLevel="0" collapsed="false">
      <c r="A16" s="59" t="s">
        <v>1542</v>
      </c>
      <c r="B16" s="60"/>
      <c r="C16" s="61" t="n">
        <f aca="false">P16</f>
        <v>315000</v>
      </c>
      <c r="D16" s="61" t="n">
        <f aca="false">AB16</f>
        <v>255000</v>
      </c>
      <c r="E16" s="62" t="n">
        <f aca="false">(Inputs_Actuals!$C$290-Inputs_Actuals!$C$291)-E13</f>
        <v>370000</v>
      </c>
      <c r="F16" s="61" t="n">
        <f aca="false">E16-F13</f>
        <v>365000</v>
      </c>
      <c r="G16" s="61" t="n">
        <f aca="false">F16-G13</f>
        <v>360000</v>
      </c>
      <c r="H16" s="61" t="n">
        <f aca="false">G16-H13</f>
        <v>355000</v>
      </c>
      <c r="I16" s="61" t="n">
        <f aca="false">H16-I13</f>
        <v>350000</v>
      </c>
      <c r="J16" s="61" t="n">
        <f aca="false">I16-J13</f>
        <v>345000</v>
      </c>
      <c r="K16" s="61" t="n">
        <f aca="false">J16-K13</f>
        <v>340000</v>
      </c>
      <c r="L16" s="61" t="n">
        <f aca="false">K16-L13</f>
        <v>335000</v>
      </c>
      <c r="M16" s="61" t="n">
        <f aca="false">L16-M13</f>
        <v>330000</v>
      </c>
      <c r="N16" s="61" t="n">
        <f aca="false">M16-N13</f>
        <v>325000</v>
      </c>
      <c r="O16" s="61" t="n">
        <f aca="false">N16-O13</f>
        <v>320000</v>
      </c>
      <c r="P16" s="61" t="n">
        <f aca="false">O16-P13</f>
        <v>315000</v>
      </c>
      <c r="Q16" s="61" t="n">
        <f aca="false">P16-Q13</f>
        <v>310000</v>
      </c>
      <c r="R16" s="61" t="n">
        <f aca="false">Q16-R13</f>
        <v>305000</v>
      </c>
      <c r="S16" s="61" t="n">
        <f aca="false">R16-S13</f>
        <v>300000</v>
      </c>
      <c r="T16" s="61" t="n">
        <f aca="false">S16-T13</f>
        <v>295000</v>
      </c>
      <c r="U16" s="61" t="n">
        <f aca="false">T16-U13</f>
        <v>290000</v>
      </c>
      <c r="V16" s="61" t="n">
        <f aca="false">U16-V13</f>
        <v>285000</v>
      </c>
      <c r="W16" s="61" t="n">
        <f aca="false">V16-W13</f>
        <v>280000</v>
      </c>
      <c r="X16" s="61" t="n">
        <f aca="false">W16-X13</f>
        <v>275000</v>
      </c>
      <c r="Y16" s="61" t="n">
        <f aca="false">X16-Y13</f>
        <v>270000</v>
      </c>
      <c r="Z16" s="61" t="n">
        <f aca="false">Y16-Z13</f>
        <v>265000</v>
      </c>
      <c r="AA16" s="61" t="n">
        <f aca="false">Z16-AA13</f>
        <v>260000</v>
      </c>
      <c r="AB16" s="61" t="n">
        <f aca="false">AA16-AB13</f>
        <v>255000</v>
      </c>
    </row>
    <row r="17" customFormat="false" ht="15" hidden="false" customHeight="false" outlineLevel="0" collapsed="false">
      <c r="A17" s="59" t="s">
        <v>1543</v>
      </c>
      <c r="B17" s="60"/>
      <c r="C17" s="61" t="n">
        <f aca="false">P17</f>
        <v>920000</v>
      </c>
      <c r="D17" s="61" t="n">
        <f aca="false">AB17</f>
        <v>920000</v>
      </c>
      <c r="E17" s="62" t="n">
        <f aca="false">Inputs_Actuals!$C$292</f>
        <v>920000</v>
      </c>
      <c r="F17" s="62" t="n">
        <f aca="false">Inputs_Actuals!$C$292</f>
        <v>920000</v>
      </c>
      <c r="G17" s="62" t="n">
        <f aca="false">Inputs_Actuals!$C$292</f>
        <v>920000</v>
      </c>
      <c r="H17" s="62" t="n">
        <f aca="false">Inputs_Actuals!$C$292</f>
        <v>920000</v>
      </c>
      <c r="I17" s="62" t="n">
        <f aca="false">Inputs_Actuals!$C$292</f>
        <v>920000</v>
      </c>
      <c r="J17" s="62" t="n">
        <f aca="false">Inputs_Actuals!$C$292</f>
        <v>920000</v>
      </c>
      <c r="K17" s="62" t="n">
        <f aca="false">Inputs_Actuals!$C$292</f>
        <v>920000</v>
      </c>
      <c r="L17" s="62" t="n">
        <f aca="false">Inputs_Actuals!$C$292</f>
        <v>920000</v>
      </c>
      <c r="M17" s="62" t="n">
        <f aca="false">Inputs_Actuals!$C$292</f>
        <v>920000</v>
      </c>
      <c r="N17" s="62" t="n">
        <f aca="false">Inputs_Actuals!$C$292</f>
        <v>920000</v>
      </c>
      <c r="O17" s="62" t="n">
        <f aca="false">Inputs_Actuals!$C$292</f>
        <v>920000</v>
      </c>
      <c r="P17" s="62" t="n">
        <f aca="false">Inputs_Actuals!$C$292</f>
        <v>920000</v>
      </c>
      <c r="Q17" s="62" t="n">
        <f aca="false">Inputs_Actuals!$C$292</f>
        <v>920000</v>
      </c>
      <c r="R17" s="62" t="n">
        <f aca="false">Inputs_Actuals!$C$292</f>
        <v>920000</v>
      </c>
      <c r="S17" s="62" t="n">
        <f aca="false">Inputs_Actuals!$C$292</f>
        <v>920000</v>
      </c>
      <c r="T17" s="62" t="n">
        <f aca="false">Inputs_Actuals!$C$292</f>
        <v>920000</v>
      </c>
      <c r="U17" s="62" t="n">
        <f aca="false">Inputs_Actuals!$C$292</f>
        <v>920000</v>
      </c>
      <c r="V17" s="62" t="n">
        <f aca="false">Inputs_Actuals!$C$292</f>
        <v>920000</v>
      </c>
      <c r="W17" s="62" t="n">
        <f aca="false">Inputs_Actuals!$C$292</f>
        <v>920000</v>
      </c>
      <c r="X17" s="62" t="n">
        <f aca="false">Inputs_Actuals!$C$292</f>
        <v>920000</v>
      </c>
      <c r="Y17" s="62" t="n">
        <f aca="false">Inputs_Actuals!$C$292</f>
        <v>920000</v>
      </c>
      <c r="Z17" s="62" t="n">
        <f aca="false">Inputs_Actuals!$C$292</f>
        <v>920000</v>
      </c>
      <c r="AA17" s="62" t="n">
        <f aca="false">Inputs_Actuals!$C$292</f>
        <v>920000</v>
      </c>
      <c r="AB17" s="62" t="n">
        <f aca="false">Inputs_Actuals!$C$292</f>
        <v>920000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1544</v>
      </c>
    </row>
    <row r="3" customFormat="false" ht="15" hidden="false" customHeight="false" outlineLevel="0" collapsed="false">
      <c r="A3" s="50" t="s">
        <v>1545</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1546</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1547</v>
      </c>
      <c r="B9" s="63"/>
      <c r="E9" s="67" t="n">
        <f aca="false">Inputs_Actuals!$C$309</f>
        <v>1300000</v>
      </c>
      <c r="F9" s="76" t="n">
        <f aca="false">E12</f>
        <v>1266666.67</v>
      </c>
      <c r="G9" s="76" t="n">
        <f aca="false">F12</f>
        <v>1233333.34</v>
      </c>
      <c r="H9" s="76" t="n">
        <f aca="false">G12</f>
        <v>1200000.01</v>
      </c>
      <c r="I9" s="76" t="n">
        <f aca="false">H12</f>
        <v>1166666.68</v>
      </c>
      <c r="J9" s="76" t="n">
        <f aca="false">I12</f>
        <v>1133333.35</v>
      </c>
      <c r="K9" s="76" t="n">
        <f aca="false">J12</f>
        <v>1100000.02</v>
      </c>
      <c r="L9" s="76" t="n">
        <f aca="false">K12</f>
        <v>1066666.69</v>
      </c>
      <c r="M9" s="76" t="n">
        <f aca="false">L12</f>
        <v>1033333.36</v>
      </c>
      <c r="N9" s="76" t="n">
        <f aca="false">M12</f>
        <v>1000000.03</v>
      </c>
      <c r="O9" s="76" t="n">
        <f aca="false">N12</f>
        <v>966666.7</v>
      </c>
      <c r="P9" s="76" t="n">
        <f aca="false">O12</f>
        <v>933333.37</v>
      </c>
      <c r="Q9" s="76" t="n">
        <f aca="false">P12</f>
        <v>900000.04</v>
      </c>
      <c r="R9" s="76" t="n">
        <f aca="false">Q12</f>
        <v>866666.71</v>
      </c>
      <c r="S9" s="76" t="n">
        <f aca="false">R12</f>
        <v>833333.38</v>
      </c>
      <c r="T9" s="76" t="n">
        <f aca="false">S12</f>
        <v>800000.05</v>
      </c>
      <c r="U9" s="76" t="n">
        <f aca="false">T12</f>
        <v>766666.72</v>
      </c>
      <c r="V9" s="76" t="n">
        <f aca="false">U12</f>
        <v>733333.39</v>
      </c>
      <c r="W9" s="76" t="n">
        <f aca="false">V12</f>
        <v>700000.06</v>
      </c>
      <c r="X9" s="76" t="n">
        <f aca="false">W12</f>
        <v>666666.73</v>
      </c>
      <c r="Y9" s="76" t="n">
        <f aca="false">X12</f>
        <v>633333.4</v>
      </c>
      <c r="Z9" s="76" t="n">
        <f aca="false">Y12</f>
        <v>600000.07</v>
      </c>
      <c r="AA9" s="76" t="n">
        <f aca="false">Z12</f>
        <v>566666.74</v>
      </c>
      <c r="AB9" s="76" t="n">
        <f aca="false">AA12</f>
        <v>533333.41</v>
      </c>
    </row>
    <row r="10" customFormat="false" ht="15" hidden="false" customHeight="false" outlineLevel="0" collapsed="false">
      <c r="A10" s="27" t="s">
        <v>1548</v>
      </c>
      <c r="B10" s="63" t="s">
        <v>1549</v>
      </c>
      <c r="C10" s="66" t="n">
        <f aca="false">SUM(E10:P10)</f>
        <v>399999.96</v>
      </c>
      <c r="D10" s="66" t="n">
        <f aca="false">SUM(Q10:AB10)</f>
        <v>399999.96</v>
      </c>
      <c r="E10" s="67" t="n">
        <f aca="false">IF(E$5="A",Inputs_Actuals!E272,MIN(Assumptions!$C$166,E9))</f>
        <v>33333.33</v>
      </c>
      <c r="F10" s="67" t="n">
        <f aca="false">IF(F$5="A",Inputs_Actuals!F272,MIN(Assumptions!$C$166,F9))</f>
        <v>33333.33</v>
      </c>
      <c r="G10" s="67" t="n">
        <f aca="false">IF(G$5="A",Inputs_Actuals!G272,MIN(Assumptions!$C$166,G9))</f>
        <v>33333.33</v>
      </c>
      <c r="H10" s="67" t="n">
        <f aca="false">IF(H$5="A",Inputs_Actuals!H272,MIN(Assumptions!$C$166,H9))</f>
        <v>33333.33</v>
      </c>
      <c r="I10" s="67" t="n">
        <f aca="false">IF(I$5="A",Inputs_Actuals!I272,MIN(Assumptions!$C$166,I9))</f>
        <v>33333.33</v>
      </c>
      <c r="J10" s="67" t="n">
        <f aca="false">IF(J$5="A",Inputs_Actuals!J272,MIN(Assumptions!$C$166,J9))</f>
        <v>33333.33</v>
      </c>
      <c r="K10" s="67" t="n">
        <f aca="false">IF(K$5="A",Inputs_Actuals!K272,MIN(Assumptions!$C$166,K9))</f>
        <v>33333.33</v>
      </c>
      <c r="L10" s="67" t="n">
        <f aca="false">IF(L$5="A",Inputs_Actuals!L272,MIN(Assumptions!$C$166,L9))</f>
        <v>33333.33</v>
      </c>
      <c r="M10" s="67" t="n">
        <f aca="false">IF(M$5="A",Inputs_Actuals!M272,MIN(Assumptions!$C$166,M9))</f>
        <v>33333.33</v>
      </c>
      <c r="N10" s="67" t="n">
        <f aca="false">IF(N$5="A",Inputs_Actuals!N272,MIN(Assumptions!$C$166,N9))</f>
        <v>33333.33</v>
      </c>
      <c r="O10" s="67" t="n">
        <f aca="false">IF(O$5="A",Inputs_Actuals!O272,MIN(Assumptions!$C$166,O9))</f>
        <v>33333.33</v>
      </c>
      <c r="P10" s="67" t="n">
        <f aca="false">IF(P$5="A",Inputs_Actuals!P272,MIN(Assumptions!$C$166,P9))</f>
        <v>33333.33</v>
      </c>
      <c r="Q10" s="67" t="n">
        <f aca="false">IF(Q$5="A",Inputs_Actuals!Q272,MIN(Assumptions!$C$166,Q9))</f>
        <v>33333.33</v>
      </c>
      <c r="R10" s="67" t="n">
        <f aca="false">IF(R$5="A",Inputs_Actuals!R272,MIN(Assumptions!$C$166,R9))</f>
        <v>33333.33</v>
      </c>
      <c r="S10" s="67" t="n">
        <f aca="false">IF(S$5="A",Inputs_Actuals!S272,MIN(Assumptions!$C$166,S9))</f>
        <v>33333.33</v>
      </c>
      <c r="T10" s="67" t="n">
        <f aca="false">IF(T$5="A",Inputs_Actuals!T272,MIN(Assumptions!$C$166,T9))</f>
        <v>33333.33</v>
      </c>
      <c r="U10" s="67" t="n">
        <f aca="false">IF(U$5="A",Inputs_Actuals!U272,MIN(Assumptions!$C$166,U9))</f>
        <v>33333.33</v>
      </c>
      <c r="V10" s="67" t="n">
        <f aca="false">IF(V$5="A",Inputs_Actuals!V272,MIN(Assumptions!$C$166,V9))</f>
        <v>33333.33</v>
      </c>
      <c r="W10" s="67" t="n">
        <f aca="false">IF(W$5="A",Inputs_Actuals!W272,MIN(Assumptions!$C$166,W9))</f>
        <v>33333.33</v>
      </c>
      <c r="X10" s="67" t="n">
        <f aca="false">IF(X$5="A",Inputs_Actuals!X272,MIN(Assumptions!$C$166,X9))</f>
        <v>33333.33</v>
      </c>
      <c r="Y10" s="67" t="n">
        <f aca="false">IF(Y$5="A",Inputs_Actuals!Y272,MIN(Assumptions!$C$166,Y9))</f>
        <v>33333.33</v>
      </c>
      <c r="Z10" s="67" t="n">
        <f aca="false">IF(Z$5="A",Inputs_Actuals!Z272,MIN(Assumptions!$C$166,Z9))</f>
        <v>33333.33</v>
      </c>
      <c r="AA10" s="67" t="n">
        <f aca="false">IF(AA$5="A",Inputs_Actuals!AA272,MIN(Assumptions!$C$166,AA9))</f>
        <v>33333.33</v>
      </c>
      <c r="AB10" s="67" t="n">
        <f aca="false">IF(AB$5="A",Inputs_Actuals!AB272,MIN(Assumptions!$C$166,AB9))</f>
        <v>33333.33</v>
      </c>
    </row>
    <row r="11" customFormat="false" ht="15" hidden="false" customHeight="false" outlineLevel="0" collapsed="false">
      <c r="A11" s="27" t="s">
        <v>1550</v>
      </c>
      <c r="B11" s="63" t="s">
        <v>1551</v>
      </c>
      <c r="C11" s="66" t="n">
        <f aca="false">SUM(E11:P11)</f>
        <v>53303.1394166667</v>
      </c>
      <c r="D11" s="66" t="n">
        <f aca="false">SUM(Q11:AB11)</f>
        <v>35833.33625</v>
      </c>
      <c r="E11" s="67" t="n">
        <f aca="false">IF(E$5="A",Inputs_Actuals!E273,E9*(Assumptions!E$217+Assumptions!$C$167)/12)</f>
        <v>4752.58</v>
      </c>
      <c r="F11" s="67" t="n">
        <f aca="false">IF(F$5="A",Inputs_Actuals!F273,F9*(Assumptions!F$217+Assumptions!$C$167)/12)</f>
        <v>4640.22</v>
      </c>
      <c r="G11" s="67" t="n">
        <f aca="false">IF(G$5="A",Inputs_Actuals!G273,G9*(Assumptions!G$217+Assumptions!$C$167)/12)</f>
        <v>4699</v>
      </c>
      <c r="H11" s="67" t="n">
        <f aca="false">IF(H$5="A",Inputs_Actuals!H273,H9*(Assumptions!H$217+Assumptions!$C$167)/12)</f>
        <v>4704</v>
      </c>
      <c r="I11" s="67" t="n">
        <f aca="false">IF(I$5="A",Inputs_Actuals!I273,I9*(Assumptions!I$217+Assumptions!$C$167)/12)</f>
        <v>4652.08</v>
      </c>
      <c r="J11" s="67" t="n">
        <f aca="false">IF(J$5="A",Inputs_Actuals!J273,J9*(Assumptions!J$217+Assumptions!$C$167)/12)</f>
        <v>4578.67</v>
      </c>
      <c r="K11" s="67" t="n">
        <f aca="false">IF(K$5="A",Inputs_Actuals!K273,K9*(Assumptions!K$217+Assumptions!$C$167)/12)</f>
        <v>4477.92</v>
      </c>
      <c r="L11" s="67" t="n">
        <f aca="false">IF(L$5="A",Inputs_Actuals!L273,L9*(Assumptions!L$217+Assumptions!$C$167)/12)</f>
        <v>4409.78</v>
      </c>
      <c r="M11" s="67" t="n">
        <f aca="false">IF(M$5="A",Inputs_Actuals!M273,M9*(Assumptions!M$217+Assumptions!$C$167)/12)</f>
        <v>4305.55566666666</v>
      </c>
      <c r="N11" s="67" t="n">
        <f aca="false">IF(N$5="A",Inputs_Actuals!N273,N9*(Assumptions!N$217+Assumptions!$C$167)/12)</f>
        <v>4166.66679166667</v>
      </c>
      <c r="O11" s="67" t="n">
        <f aca="false">IF(O$5="A",Inputs_Actuals!O273,O9*(Assumptions!O$217+Assumptions!$C$167)/12)</f>
        <v>4027.77791666667</v>
      </c>
      <c r="P11" s="67" t="n">
        <f aca="false">IF(P$5="A",Inputs_Actuals!P273,P9*(Assumptions!P$217+Assumptions!$C$167)/12)</f>
        <v>3888.88904166667</v>
      </c>
      <c r="Q11" s="67" t="n">
        <f aca="false">IF(Q$5="A",Inputs_Actuals!Q273,Q9*(Assumptions!Q$217+Assumptions!$C$167)/12)</f>
        <v>3750.00016666667</v>
      </c>
      <c r="R11" s="67" t="n">
        <f aca="false">IF(R$5="A",Inputs_Actuals!R273,R9*(Assumptions!R$217+Assumptions!$C$167)/12)</f>
        <v>3611.11129166667</v>
      </c>
      <c r="S11" s="67" t="n">
        <f aca="false">IF(S$5="A",Inputs_Actuals!S273,S9*(Assumptions!S$217+Assumptions!$C$167)/12)</f>
        <v>3472.22241666667</v>
      </c>
      <c r="T11" s="67" t="n">
        <f aca="false">IF(T$5="A",Inputs_Actuals!T273,T9*(Assumptions!T$217+Assumptions!$C$167)/12)</f>
        <v>3333.33354166667</v>
      </c>
      <c r="U11" s="67" t="n">
        <f aca="false">IF(U$5="A",Inputs_Actuals!U273,U9*(Assumptions!U$217+Assumptions!$C$167)/12)</f>
        <v>3194.44466666667</v>
      </c>
      <c r="V11" s="67" t="n">
        <f aca="false">IF(V$5="A",Inputs_Actuals!V273,V9*(Assumptions!V$217+Assumptions!$C$167)/12)</f>
        <v>3055.55579166667</v>
      </c>
      <c r="W11" s="67" t="n">
        <f aca="false">IF(W$5="A",Inputs_Actuals!W273,W9*(Assumptions!W$217+Assumptions!$C$167)/12)</f>
        <v>2916.66691666667</v>
      </c>
      <c r="X11" s="67" t="n">
        <f aca="false">IF(X$5="A",Inputs_Actuals!X273,X9*(Assumptions!X$217+Assumptions!$C$167)/12)</f>
        <v>2777.77804166667</v>
      </c>
      <c r="Y11" s="67" t="n">
        <f aca="false">IF(Y$5="A",Inputs_Actuals!Y273,Y9*(Assumptions!Y$217+Assumptions!$C$167)/12)</f>
        <v>2638.88916666667</v>
      </c>
      <c r="Z11" s="67" t="n">
        <f aca="false">IF(Z$5="A",Inputs_Actuals!Z273,Z9*(Assumptions!Z$217+Assumptions!$C$167)/12)</f>
        <v>2500.00029166667</v>
      </c>
      <c r="AA11" s="67" t="n">
        <f aca="false">IF(AA$5="A",Inputs_Actuals!AA273,AA9*(Assumptions!AA$217+Assumptions!$C$167)/12)</f>
        <v>2361.11141666667</v>
      </c>
      <c r="AB11" s="67" t="n">
        <f aca="false">IF(AB$5="A",Inputs_Actuals!AB273,AB9*(Assumptions!AB$217+Assumptions!$C$167)/12)</f>
        <v>2222.22254166667</v>
      </c>
    </row>
    <row r="12" customFormat="false" ht="15" hidden="false" customHeight="false" outlineLevel="0" collapsed="false">
      <c r="A12" s="59" t="s">
        <v>1552</v>
      </c>
      <c r="B12" s="60"/>
      <c r="C12" s="61" t="n">
        <f aca="false">P12</f>
        <v>900000.04</v>
      </c>
      <c r="D12" s="61" t="n">
        <f aca="false">AB12</f>
        <v>500000.08</v>
      </c>
      <c r="E12" s="61" t="n">
        <f aca="false">E9-E10</f>
        <v>1266666.67</v>
      </c>
      <c r="F12" s="61" t="n">
        <f aca="false">F9-F10</f>
        <v>1233333.34</v>
      </c>
      <c r="G12" s="61" t="n">
        <f aca="false">G9-G10</f>
        <v>1200000.01</v>
      </c>
      <c r="H12" s="61" t="n">
        <f aca="false">H9-H10</f>
        <v>1166666.68</v>
      </c>
      <c r="I12" s="61" t="n">
        <f aca="false">I9-I10</f>
        <v>1133333.35</v>
      </c>
      <c r="J12" s="61" t="n">
        <f aca="false">J9-J10</f>
        <v>1100000.02</v>
      </c>
      <c r="K12" s="61" t="n">
        <f aca="false">K9-K10</f>
        <v>1066666.69</v>
      </c>
      <c r="L12" s="61" t="n">
        <f aca="false">L9-L10</f>
        <v>1033333.36</v>
      </c>
      <c r="M12" s="61" t="n">
        <f aca="false">M9-M10</f>
        <v>1000000.03</v>
      </c>
      <c r="N12" s="61" t="n">
        <f aca="false">N9-N10</f>
        <v>966666.7</v>
      </c>
      <c r="O12" s="61" t="n">
        <f aca="false">O9-O10</f>
        <v>933333.37</v>
      </c>
      <c r="P12" s="61" t="n">
        <f aca="false">P9-P10</f>
        <v>900000.04</v>
      </c>
      <c r="Q12" s="61" t="n">
        <f aca="false">Q9-Q10</f>
        <v>866666.71</v>
      </c>
      <c r="R12" s="61" t="n">
        <f aca="false">R9-R10</f>
        <v>833333.38</v>
      </c>
      <c r="S12" s="61" t="n">
        <f aca="false">S9-S10</f>
        <v>800000.05</v>
      </c>
      <c r="T12" s="61" t="n">
        <f aca="false">T9-T10</f>
        <v>766666.72</v>
      </c>
      <c r="U12" s="61" t="n">
        <f aca="false">U9-U10</f>
        <v>733333.39</v>
      </c>
      <c r="V12" s="61" t="n">
        <f aca="false">V9-V10</f>
        <v>700000.06</v>
      </c>
      <c r="W12" s="61" t="n">
        <f aca="false">W9-W10</f>
        <v>666666.73</v>
      </c>
      <c r="X12" s="61" t="n">
        <f aca="false">X9-X10</f>
        <v>633333.4</v>
      </c>
      <c r="Y12" s="61" t="n">
        <f aca="false">Y9-Y10</f>
        <v>600000.07</v>
      </c>
      <c r="Z12" s="61" t="n">
        <f aca="false">Z9-Z10</f>
        <v>566666.74</v>
      </c>
      <c r="AA12" s="61" t="n">
        <f aca="false">AA9-AA10</f>
        <v>533333.41</v>
      </c>
      <c r="AB12" s="61" t="n">
        <f aca="false">AB9-AB10</f>
        <v>500000.08</v>
      </c>
    </row>
    <row r="13" customFormat="false" ht="15" hidden="false" customHeight="false" outlineLevel="0" collapsed="false">
      <c r="A13" s="21" t="s">
        <v>1553</v>
      </c>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row>
    <row r="14" customFormat="false" ht="15" hidden="false" customHeight="false" outlineLevel="0" collapsed="false">
      <c r="A14" s="27" t="s">
        <v>1554</v>
      </c>
      <c r="B14" s="63" t="s">
        <v>1555</v>
      </c>
      <c r="C14" s="66" t="n">
        <f aca="false">P14</f>
        <v>863221.588575057</v>
      </c>
      <c r="D14" s="66" t="n">
        <f aca="false">AB14</f>
        <v>1058621.24719106</v>
      </c>
      <c r="E14" s="67" t="n">
        <f aca="false">SUM(PL!E45:E45)+SUM(History!D30:N30)</f>
        <v>1307358.22957823</v>
      </c>
      <c r="F14" s="67" t="n">
        <f aca="false">SUM(PL!E45:F45)+SUM(History!E30:N30)</f>
        <v>1275766.67684721</v>
      </c>
      <c r="G14" s="67" t="n">
        <f aca="false">SUM(PL!E45:G45)+SUM(History!F30:N30)</f>
        <v>1250110.70366361</v>
      </c>
      <c r="H14" s="67" t="n">
        <f aca="false">SUM(PL!E45:H45)+SUM(History!G30:N30)</f>
        <v>1231630.58492157</v>
      </c>
      <c r="I14" s="67" t="n">
        <f aca="false">SUM(PL!E45:I45)+SUM(History!H30:N30)</f>
        <v>1205368.44144733</v>
      </c>
      <c r="J14" s="67" t="n">
        <f aca="false">SUM(PL!E45:J45)+SUM(History!I30:N30)</f>
        <v>1087361.5332222</v>
      </c>
      <c r="K14" s="67" t="n">
        <f aca="false">SUM(PL!E45:K45)+SUM(History!J30:N30)</f>
        <v>1047270.97714548</v>
      </c>
      <c r="L14" s="67" t="n">
        <f aca="false">SUM(PL!E45:L45)+SUM(History!K30:N30)</f>
        <v>1022278.59423745</v>
      </c>
      <c r="M14" s="67" t="n">
        <f aca="false">SUM(PL!E45:M45)+SUM(History!L30:N30)</f>
        <v>988275.77291119</v>
      </c>
      <c r="N14" s="67" t="n">
        <f aca="false">SUM(PL!E45:N45)+SUM(History!M30:N30)</f>
        <v>943728.937046994</v>
      </c>
      <c r="O14" s="67" t="n">
        <f aca="false">SUM(PL!E45:O45)+SUM(History!N30:N30)</f>
        <v>898938.2537254</v>
      </c>
      <c r="P14" s="67" t="n">
        <f aca="false">SUM(PL!E45:P45)</f>
        <v>863221.588575057</v>
      </c>
      <c r="Q14" s="67" t="n">
        <f aca="false">SUM(PL!F45:Q45)</f>
        <v>885534.31075307</v>
      </c>
      <c r="R14" s="67" t="n">
        <f aca="false">SUM(PL!G45:R45)</f>
        <v>909002.050764191</v>
      </c>
      <c r="S14" s="67" t="n">
        <f aca="false">SUM(PL!H45:S45)</f>
        <v>912889.760802017</v>
      </c>
      <c r="T14" s="67" t="n">
        <f aca="false">SUM(PL!I45:T45)</f>
        <v>911629.001951659</v>
      </c>
      <c r="U14" s="67" t="n">
        <f aca="false">SUM(PL!J45:U45)</f>
        <v>919517.573530353</v>
      </c>
      <c r="V14" s="67" t="n">
        <f aca="false">SUM(PL!K45:V45)</f>
        <v>1004561.70081675</v>
      </c>
      <c r="W14" s="67" t="n">
        <f aca="false">SUM(PL!L45:W45)</f>
        <v>1025136.77050199</v>
      </c>
      <c r="X14" s="67" t="n">
        <f aca="false">SUM(PL!M45:X45)</f>
        <v>1045280.08704985</v>
      </c>
      <c r="Y14" s="67" t="n">
        <f aca="false">SUM(PL!N45:Y45)</f>
        <v>1046652.19273503</v>
      </c>
      <c r="Z14" s="67" t="n">
        <f aca="false">SUM(PL!O45:Z45)</f>
        <v>1053502.99648008</v>
      </c>
      <c r="AA14" s="67" t="n">
        <f aca="false">SUM(PL!P45:AA45)</f>
        <v>1060572.82094181</v>
      </c>
      <c r="AB14" s="67" t="n">
        <f aca="false">SUM(PL!Q45:AB45)</f>
        <v>1058621.24719106</v>
      </c>
    </row>
    <row r="15" customFormat="false" ht="15" hidden="false" customHeight="false" outlineLevel="0" collapsed="false">
      <c r="A15" s="27" t="s">
        <v>503</v>
      </c>
      <c r="B15" s="63"/>
      <c r="C15" s="66" t="n">
        <f aca="false">P15</f>
        <v>195774.516827804</v>
      </c>
      <c r="D15" s="66" t="n">
        <f aca="false">AB15</f>
        <v>-704217.389634865</v>
      </c>
      <c r="E15" s="67" t="n">
        <f aca="false">E12-BS!E9</f>
        <v>185380.9685</v>
      </c>
      <c r="F15" s="67" t="n">
        <f aca="false">F12-BS!F9</f>
        <v>42077.1664500001</v>
      </c>
      <c r="G15" s="67" t="n">
        <f aca="false">G12-BS!G9</f>
        <v>-85102.2166249999</v>
      </c>
      <c r="H15" s="67" t="n">
        <f aca="false">H12-BS!H9</f>
        <v>-88962.9097249997</v>
      </c>
      <c r="I15" s="67" t="n">
        <f aca="false">I12-BS!I9</f>
        <v>-17907.7153499995</v>
      </c>
      <c r="J15" s="67" t="n">
        <f aca="false">J12-BS!J9</f>
        <v>219520.332550001</v>
      </c>
      <c r="K15" s="67" t="n">
        <f aca="false">K12-BS!K9</f>
        <v>346998.419250001</v>
      </c>
      <c r="L15" s="67" t="n">
        <f aca="false">L12-BS!L9</f>
        <v>191280.477150001</v>
      </c>
      <c r="M15" s="67" t="n">
        <f aca="false">M12-BS!M9</f>
        <v>194096.812501117</v>
      </c>
      <c r="N15" s="67" t="n">
        <f aca="false">N12-BS!N9</f>
        <v>219168.506819333</v>
      </c>
      <c r="O15" s="67" t="n">
        <f aca="false">O12-BS!O9</f>
        <v>244310.358535641</v>
      </c>
      <c r="P15" s="67" t="n">
        <f aca="false">P12-BS!P9</f>
        <v>195774.516827804</v>
      </c>
      <c r="Q15" s="67" t="n">
        <f aca="false">Q12-BS!Q9</f>
        <v>91741.7529593535</v>
      </c>
      <c r="R15" s="67" t="n">
        <f aca="false">R12-BS!R9</f>
        <v>-10004.2267396507</v>
      </c>
      <c r="S15" s="67" t="n">
        <f aca="false">S12-BS!S9</f>
        <v>-173624.352927203</v>
      </c>
      <c r="T15" s="67" t="n">
        <f aca="false">T12-BS!T9</f>
        <v>-246953.324703791</v>
      </c>
      <c r="U15" s="67" t="n">
        <f aca="false">U12-BS!U9</f>
        <v>-389478.015935505</v>
      </c>
      <c r="V15" s="67" t="n">
        <f aca="false">V12-BS!V9</f>
        <v>-367687.935523865</v>
      </c>
      <c r="W15" s="67" t="n">
        <f aca="false">W12-BS!W9</f>
        <v>-331248.575979996</v>
      </c>
      <c r="X15" s="67" t="n">
        <f aca="false">X12-BS!X9</f>
        <v>-557624.475650181</v>
      </c>
      <c r="Y15" s="67" t="n">
        <f aca="false">Y12-BS!Y9</f>
        <v>-667478.26340301</v>
      </c>
      <c r="Z15" s="67" t="n">
        <f aca="false">Z12-BS!Z9</f>
        <v>-640808.858126537</v>
      </c>
      <c r="AA15" s="67" t="n">
        <f aca="false">AA12-BS!AA9</f>
        <v>-664977.92665152</v>
      </c>
      <c r="AB15" s="67" t="n">
        <f aca="false">AB12-BS!AB9</f>
        <v>-704217.389634865</v>
      </c>
    </row>
    <row r="16" customFormat="false" ht="15" hidden="false" customHeight="false" outlineLevel="0" collapsed="false">
      <c r="A16" s="27" t="s">
        <v>1556</v>
      </c>
      <c r="B16" s="63" t="s">
        <v>1557</v>
      </c>
      <c r="C16" s="77" t="n">
        <f aca="false">P16</f>
        <v>0.226795204636823</v>
      </c>
      <c r="D16" s="77" t="n">
        <f aca="false">AB16</f>
        <v>-0.665221288070152</v>
      </c>
      <c r="E16" s="130" t="n">
        <f aca="false">IF(E14&lt;=0,99,E15/E14)</f>
        <v>0.141798142472248</v>
      </c>
      <c r="F16" s="130" t="n">
        <f aca="false">IF(F14&lt;=0,99,F15/F14)</f>
        <v>0.0329818666795601</v>
      </c>
      <c r="G16" s="130" t="n">
        <f aca="false">IF(G14&lt;=0,99,G15/G14)</f>
        <v>-0.0680757443125613</v>
      </c>
      <c r="H16" s="130" t="n">
        <f aca="false">IF(H14&lt;=0,99,H15/H14)</f>
        <v>-0.0722318126994752</v>
      </c>
      <c r="I16" s="130" t="n">
        <f aca="false">IF(I14&lt;=0,99,I15/I14)</f>
        <v>-0.0148566319925358</v>
      </c>
      <c r="J16" s="130" t="n">
        <f aca="false">IF(J14&lt;=0,99,J15/J14)</f>
        <v>0.201883482027815</v>
      </c>
      <c r="K16" s="130" t="n">
        <f aca="false">IF(K14&lt;=0,99,K15/K14)</f>
        <v>0.33133584986362</v>
      </c>
      <c r="L16" s="130" t="n">
        <f aca="false">IF(L14&lt;=0,99,L15/L14)</f>
        <v>0.187111887335061</v>
      </c>
      <c r="M16" s="130" t="n">
        <f aca="false">IF(M14&lt;=0,99,M15/M14)</f>
        <v>0.196399444184856</v>
      </c>
      <c r="N16" s="130" t="n">
        <f aca="false">IF(N14&lt;=0,99,N15/N14)</f>
        <v>0.232236713547356</v>
      </c>
      <c r="O16" s="130" t="n">
        <f aca="false">IF(O14&lt;=0,99,O15/O14)</f>
        <v>0.271776573666951</v>
      </c>
      <c r="P16" s="130" t="n">
        <f aca="false">IF(P14&lt;=0,99,P15/P14)</f>
        <v>0.226795204636823</v>
      </c>
      <c r="Q16" s="130" t="n">
        <f aca="false">IF(Q14&lt;=0,99,Q15/Q14)</f>
        <v>0.103600449858724</v>
      </c>
      <c r="R16" s="130" t="n">
        <f aca="false">IF(R14&lt;=0,99,R15/R14)</f>
        <v>-0.0110057251589699</v>
      </c>
      <c r="S16" s="130" t="n">
        <f aca="false">IF(S14&lt;=0,99,S15/S14)</f>
        <v>-0.190192025787064</v>
      </c>
      <c r="T16" s="130" t="n">
        <f aca="false">IF(T14&lt;=0,99,T15/T14)</f>
        <v>-0.270892352234409</v>
      </c>
      <c r="U16" s="130" t="n">
        <f aca="false">IF(U14&lt;=0,99,U15/U14)</f>
        <v>-0.423567778525604</v>
      </c>
      <c r="V16" s="130" t="n">
        <f aca="false">IF(V14&lt;=0,99,V15/V14)</f>
        <v>-0.366018269684103</v>
      </c>
      <c r="W16" s="130" t="n">
        <f aca="false">IF(W14&lt;=0,99,W15/W14)</f>
        <v>-0.323126226189105</v>
      </c>
      <c r="X16" s="130" t="n">
        <f aca="false">IF(X14&lt;=0,99,X15/X14)</f>
        <v>-0.533468954932445</v>
      </c>
      <c r="Y16" s="130" t="n">
        <f aca="false">IF(Y14&lt;=0,99,Y15/Y14)</f>
        <v>-0.637726904922263</v>
      </c>
      <c r="Z16" s="130" t="n">
        <f aca="false">IF(Z14&lt;=0,99,Z15/Z14)</f>
        <v>-0.608264865185557</v>
      </c>
      <c r="AA16" s="130" t="n">
        <f aca="false">IF(AA14&lt;=0,99,AA15/AA14)</f>
        <v>-0.626998838289114</v>
      </c>
      <c r="AB16" s="130" t="n">
        <f aca="false">IF(AB14&lt;=0,99,AB15/AB14)</f>
        <v>-0.665221288070152</v>
      </c>
    </row>
    <row r="17" customFormat="false" ht="15" hidden="false" customHeight="false" outlineLevel="0" collapsed="false">
      <c r="A17" s="27" t="s">
        <v>1558</v>
      </c>
      <c r="B17" s="63" t="s">
        <v>1559</v>
      </c>
      <c r="C17" s="66" t="n">
        <f aca="false">P17</f>
        <v>325006.735</v>
      </c>
      <c r="D17" s="66" t="n">
        <f aca="false">AB17</f>
        <v>43282.4449326264</v>
      </c>
      <c r="E17" s="67" t="n">
        <f aca="false">SUM(Tax!E18:E18)+SUM(History!D49:N49)</f>
        <v>163950</v>
      </c>
      <c r="F17" s="67" t="n">
        <f aca="false">SUM(Tax!E18:F18)+SUM(History!E49:N49)</f>
        <v>163950</v>
      </c>
      <c r="G17" s="67" t="n">
        <f aca="false">SUM(Tax!E18:G18)+SUM(History!F49:N49)</f>
        <v>163950</v>
      </c>
      <c r="H17" s="67" t="n">
        <f aca="false">SUM(Tax!E18:H18)+SUM(History!G49:N49)</f>
        <v>163950</v>
      </c>
      <c r="I17" s="67" t="n">
        <f aca="false">SUM(Tax!E18:I18)+SUM(History!H49:N49)</f>
        <v>142500</v>
      </c>
      <c r="J17" s="67" t="n">
        <f aca="false">SUM(Tax!E18:J18)+SUM(History!I49:N49)</f>
        <v>248252.96</v>
      </c>
      <c r="K17" s="67" t="n">
        <f aca="false">SUM(Tax!E18:K18)+SUM(History!J49:N49)</f>
        <v>273837.55</v>
      </c>
      <c r="L17" s="67" t="n">
        <f aca="false">SUM(Tax!E18:L18)+SUM(History!K49:N49)</f>
        <v>273837.55</v>
      </c>
      <c r="M17" s="67" t="n">
        <f aca="false">SUM(Tax!E18:M18)+SUM(History!L49:N49)</f>
        <v>299422.1425</v>
      </c>
      <c r="N17" s="67" t="n">
        <f aca="false">SUM(Tax!E18:N18)+SUM(History!M49:N49)</f>
        <v>299422.1425</v>
      </c>
      <c r="O17" s="67" t="n">
        <f aca="false">SUM(Tax!E18:O18)+SUM(History!N49:N49)</f>
        <v>299422.1425</v>
      </c>
      <c r="P17" s="67" t="n">
        <f aca="false">SUM(Tax!E18:P18)</f>
        <v>325006.735</v>
      </c>
      <c r="Q17" s="67" t="n">
        <f aca="false">SUM(Tax!F18:Q18)</f>
        <v>325006.735</v>
      </c>
      <c r="R17" s="67" t="n">
        <f aca="false">SUM(Tax!G18:R18)</f>
        <v>325006.735</v>
      </c>
      <c r="S17" s="67" t="n">
        <f aca="false">SUM(Tax!H18:S18)</f>
        <v>325006.735</v>
      </c>
      <c r="T17" s="67" t="n">
        <f aca="false">SUM(Tax!I18:T18)</f>
        <v>325006.735</v>
      </c>
      <c r="U17" s="67" t="n">
        <f aca="false">SUM(Tax!J18:U18)</f>
        <v>325006.735</v>
      </c>
      <c r="V17" s="67" t="n">
        <f aca="false">SUM(Tax!K18:V18)</f>
        <v>219253.775</v>
      </c>
      <c r="W17" s="67" t="n">
        <f aca="false">SUM(Tax!L18:W18)</f>
        <v>187119.714786285</v>
      </c>
      <c r="X17" s="67" t="n">
        <f aca="false">SUM(Tax!M18:X18)</f>
        <v>187119.714786285</v>
      </c>
      <c r="Y17" s="67" t="n">
        <f aca="false">SUM(Tax!N18:Y18)</f>
        <v>75416.507646341</v>
      </c>
      <c r="Z17" s="67" t="n">
        <f aca="false">SUM(Tax!O18:Z18)</f>
        <v>75416.507646341</v>
      </c>
      <c r="AA17" s="67" t="n">
        <f aca="false">SUM(Tax!P18:AA18)</f>
        <v>75416.507646341</v>
      </c>
      <c r="AB17" s="67" t="n">
        <f aca="false">SUM(Tax!Q18:AB18)</f>
        <v>43282.4449326264</v>
      </c>
    </row>
    <row r="18" customFormat="false" ht="15" hidden="false" customHeight="false" outlineLevel="0" collapsed="false">
      <c r="A18" s="27" t="s">
        <v>1560</v>
      </c>
      <c r="B18" s="63" t="s">
        <v>1561</v>
      </c>
      <c r="C18" s="66" t="n">
        <f aca="false">P18</f>
        <v>44899.3778472222</v>
      </c>
      <c r="D18" s="66" t="n">
        <f aca="false">AB18</f>
        <v>42947.628537782</v>
      </c>
      <c r="E18" s="67" t="n">
        <f aca="false">SUM(Fixed_Assets!E8:E8)+SUM(History!D50:N50)</f>
        <v>30400</v>
      </c>
      <c r="F18" s="67" t="n">
        <f aca="false">SUM(Fixed_Assets!E8:F8)+SUM(History!E50:N50)</f>
        <v>30900</v>
      </c>
      <c r="G18" s="67" t="n">
        <f aca="false">SUM(Fixed_Assets!E8:G8)+SUM(History!F50:N50)</f>
        <v>41200</v>
      </c>
      <c r="H18" s="67" t="n">
        <f aca="false">SUM(Fixed_Assets!E8:H8)+SUM(History!G50:N50)</f>
        <v>40400</v>
      </c>
      <c r="I18" s="67" t="n">
        <f aca="false">SUM(Fixed_Assets!E8:I8)+SUM(History!H50:N50)</f>
        <v>39600</v>
      </c>
      <c r="J18" s="67" t="n">
        <f aca="false">SUM(Fixed_Assets!E8:J8)+SUM(History!I50:N50)</f>
        <v>40100</v>
      </c>
      <c r="K18" s="67" t="n">
        <f aca="false">SUM(Fixed_Assets!E8:K8)+SUM(History!J50:N50)</f>
        <v>40600</v>
      </c>
      <c r="L18" s="67" t="n">
        <f aca="false">SUM(Fixed_Assets!E8:L8)+SUM(History!K50:N50)</f>
        <v>39800</v>
      </c>
      <c r="M18" s="67" t="n">
        <f aca="false">SUM(Fixed_Assets!E8:M8)+SUM(History!L50:N50)</f>
        <v>39000</v>
      </c>
      <c r="N18" s="67" t="n">
        <f aca="false">SUM(Fixed_Assets!E8:N8)+SUM(History!M50:N50)</f>
        <v>42100</v>
      </c>
      <c r="O18" s="67" t="n">
        <f aca="false">SUM(Fixed_Assets!E8:O8)+SUM(History!N50:N50)</f>
        <v>44804.5833333333</v>
      </c>
      <c r="P18" s="67" t="n">
        <f aca="false">SUM(Fixed_Assets!E8:P8)</f>
        <v>44899.3778472222</v>
      </c>
      <c r="Q18" s="67" t="n">
        <f aca="false">SUM(Fixed_Assets!F8:Q8)</f>
        <v>51029.993067419</v>
      </c>
      <c r="R18" s="67" t="n">
        <f aca="false">SUM(Fixed_Assets!G8:R8)</f>
        <v>50690.628588859</v>
      </c>
      <c r="S18" s="67" t="n">
        <f aca="false">SUM(Fixed_Assets!H8:S8)</f>
        <v>41850.4913705518</v>
      </c>
      <c r="T18" s="67" t="n">
        <f aca="false">SUM(Fixed_Assets!I8:T8)</f>
        <v>44167.4296794369</v>
      </c>
      <c r="U18" s="67" t="n">
        <f aca="false">SUM(Fixed_Assets!J8:U8)</f>
        <v>45183.7337186414</v>
      </c>
      <c r="V18" s="67" t="n">
        <f aca="false">SUM(Fixed_Assets!K8:V8)</f>
        <v>46214.5683804251</v>
      </c>
      <c r="W18" s="67" t="n">
        <f aca="false">SUM(Fixed_Assets!L8:W8)</f>
        <v>45960.4073217067</v>
      </c>
      <c r="X18" s="67" t="n">
        <f aca="false">SUM(Fixed_Assets!M8:X8)</f>
        <v>47005.9015586578</v>
      </c>
      <c r="Y18" s="67" t="n">
        <f aca="false">SUM(Fixed_Assets!N8:Y8)</f>
        <v>48066.3914350965</v>
      </c>
      <c r="Z18" s="67" t="n">
        <f aca="false">SUM(Fixed_Assets!O8:Z8)</f>
        <v>45226.7103843828</v>
      </c>
      <c r="AA18" s="67" t="n">
        <f aca="false">SUM(Fixed_Assets!P8:AA8)</f>
        <v>42782.2730453792</v>
      </c>
      <c r="AB18" s="67" t="n">
        <f aca="false">SUM(Fixed_Assets!Q8:AB8)</f>
        <v>42947.628537782</v>
      </c>
    </row>
    <row r="19" customFormat="false" ht="15" hidden="false" customHeight="false" outlineLevel="0" collapsed="false">
      <c r="A19" s="27" t="s">
        <v>1562</v>
      </c>
      <c r="B19" s="63"/>
      <c r="C19" s="66" t="n">
        <f aca="false">P19</f>
        <v>453303.099416667</v>
      </c>
      <c r="D19" s="66" t="n">
        <f aca="false">AB19</f>
        <v>435833.29625</v>
      </c>
      <c r="E19" s="67" t="n">
        <f aca="false">SUM(Financing!E10:E10)+SUM(History!D51:N51)+SUM(Financing!E11:E11)+SUM(History!D32:N32)</f>
        <v>465940.04</v>
      </c>
      <c r="F19" s="67" t="n">
        <f aca="false">SUM(Financing!E10:F10)+SUM(History!E51:N51)+SUM(Financing!E11:F11)+SUM(History!E32:N32)</f>
        <v>464399.7</v>
      </c>
      <c r="G19" s="67" t="n">
        <f aca="false">SUM(Financing!E10:G10)+SUM(History!F51:N51)+SUM(Financing!E11:G11)+SUM(History!F32:N32)</f>
        <v>463041.76</v>
      </c>
      <c r="H19" s="67" t="n">
        <f aca="false">SUM(Financing!E10:H10)+SUM(History!G51:N51)+SUM(Financing!E11:H11)+SUM(History!G32:N32)</f>
        <v>461812.43</v>
      </c>
      <c r="I19" s="67" t="n">
        <f aca="false">SUM(Financing!E10:I10)+SUM(History!H51:N51)+SUM(Financing!E11:I11)+SUM(History!H32:N32)</f>
        <v>460654.79</v>
      </c>
      <c r="J19" s="67" t="n">
        <f aca="false">SUM(Financing!E10:J10)+SUM(History!I51:N51)+SUM(Financing!E11:J11)+SUM(History!I32:N32)</f>
        <v>459547.35</v>
      </c>
      <c r="K19" s="67" t="n">
        <f aca="false">SUM(Financing!E10:K10)+SUM(History!J51:N51)+SUM(Financing!E11:K11)+SUM(History!J32:N32)</f>
        <v>458462.77</v>
      </c>
      <c r="L19" s="67" t="n">
        <f aca="false">SUM(Financing!E10:L10)+SUM(History!K51:N51)+SUM(Financing!E11:L11)+SUM(History!K32:N32)</f>
        <v>457433.66</v>
      </c>
      <c r="M19" s="67" t="n">
        <f aca="false">SUM(Financing!E10:M10)+SUM(History!L51:N51)+SUM(Financing!E11:M11)+SUM(History!L32:N32)</f>
        <v>456423.935666667</v>
      </c>
      <c r="N19" s="67" t="n">
        <f aca="false">SUM(Financing!E10:N10)+SUM(History!M51:N51)+SUM(Financing!E11:N11)+SUM(History!M32:N32)</f>
        <v>455398.932458333</v>
      </c>
      <c r="O19" s="67" t="n">
        <f aca="false">SUM(Financing!E10:O10)+SUM(History!N51:N51)+SUM(Financing!E11:O11)+SUM(History!N32:N32)</f>
        <v>454358.650375</v>
      </c>
      <c r="P19" s="67" t="n">
        <f aca="false">SUM(Financing!E10:P10)+SUM(Financing!E11:P11)</f>
        <v>453303.099416667</v>
      </c>
      <c r="Q19" s="67" t="n">
        <f aca="false">SUM(Financing!F10:Q10)+SUM(Financing!F11:Q11)</f>
        <v>452300.519583333</v>
      </c>
      <c r="R19" s="67" t="n">
        <f aca="false">SUM(Financing!G10:R10)+SUM(Financing!G11:R11)</f>
        <v>451271.410875</v>
      </c>
      <c r="S19" s="67" t="n">
        <f aca="false">SUM(Financing!H10:S10)+SUM(Financing!H11:S11)</f>
        <v>450044.633291667</v>
      </c>
      <c r="T19" s="67" t="n">
        <f aca="false">SUM(Financing!I10:T10)+SUM(Financing!I11:T11)</f>
        <v>448673.966833333</v>
      </c>
      <c r="U19" s="67" t="n">
        <f aca="false">SUM(Financing!J10:U10)+SUM(Financing!J11:U11)</f>
        <v>447216.3315</v>
      </c>
      <c r="V19" s="67" t="n">
        <f aca="false">SUM(Financing!K10:V10)+SUM(Financing!K11:V11)</f>
        <v>445693.217291667</v>
      </c>
      <c r="W19" s="67" t="n">
        <f aca="false">SUM(Financing!L10:W10)+SUM(Financing!L11:W11)</f>
        <v>444131.964208333</v>
      </c>
      <c r="X19" s="67" t="n">
        <f aca="false">SUM(Financing!M10:X10)+SUM(Financing!M11:X11)</f>
        <v>442499.96225</v>
      </c>
      <c r="Y19" s="67" t="n">
        <f aca="false">SUM(Financing!N10:Y10)+SUM(Financing!N11:Y11)</f>
        <v>440833.29575</v>
      </c>
      <c r="Z19" s="67" t="n">
        <f aca="false">SUM(Financing!O10:Z10)+SUM(Financing!O11:Z11)</f>
        <v>439166.62925</v>
      </c>
      <c r="AA19" s="67" t="n">
        <f aca="false">SUM(Financing!P10:AA10)+SUM(Financing!P11:AA11)</f>
        <v>437499.96275</v>
      </c>
      <c r="AB19" s="67" t="n">
        <f aca="false">SUM(Financing!Q10:AB10)+SUM(Financing!Q11:AB11)</f>
        <v>435833.29625</v>
      </c>
    </row>
    <row r="20" customFormat="false" ht="15" hidden="false" customHeight="false" outlineLevel="0" collapsed="false">
      <c r="A20" s="27" t="s">
        <v>1563</v>
      </c>
      <c r="B20" s="63" t="s">
        <v>1564</v>
      </c>
      <c r="C20" s="77" t="n">
        <f aca="false">P20</f>
        <v>1.08826848164651</v>
      </c>
      <c r="D20" s="77" t="n">
        <f aca="false">AB20</f>
        <v>2.23110804540934</v>
      </c>
      <c r="E20" s="130" t="n">
        <f aca="false">IF(E19=0,99,(E14-E17-E18)/E19)</f>
        <v>2.38873703487306</v>
      </c>
      <c r="F20" s="130" t="n">
        <f aca="false">IF(F19=0,99,(F14-F17-F18)/F19)</f>
        <v>2.32755679395833</v>
      </c>
      <c r="G20" s="130" t="n">
        <f aca="false">IF(G19=0,99,(G14-G17-G18)/G19)</f>
        <v>2.25673102068291</v>
      </c>
      <c r="H20" s="130" t="n">
        <f aca="false">IF(H19=0,99,(H14-H17-H18)/H19)</f>
        <v>2.22445416837647</v>
      </c>
      <c r="I20" s="130" t="n">
        <f aca="false">IF(I19=0,99,(I14-I17-I18)/I19)</f>
        <v>2.2213346385638</v>
      </c>
      <c r="J20" s="130" t="n">
        <f aca="false">IF(J19=0,99,(J14-J17-J18)/J19)</f>
        <v>1.73868606406325</v>
      </c>
      <c r="K20" s="130" t="n">
        <f aca="false">IF(K19=0,99,(K14-K17-K18)/K19)</f>
        <v>1.59845787945983</v>
      </c>
      <c r="L20" s="130" t="n">
        <f aca="false">IF(L19=0,99,(L14-L17-L18)/L19)</f>
        <v>1.54916681084957</v>
      </c>
      <c r="M20" s="130" t="n">
        <f aca="false">IF(M19=0,99,(M14-M17-M18)/M19)</f>
        <v>1.42379393285322</v>
      </c>
      <c r="N20" s="130" t="n">
        <f aca="false">IF(N19=0,99,(N14-N17-N18)/N19)</f>
        <v>1.32237199436583</v>
      </c>
      <c r="O20" s="130" t="n">
        <f aca="false">IF(O19=0,99,(O14-O17-O18)/O19)</f>
        <v>1.22086710010746</v>
      </c>
      <c r="P20" s="130" t="n">
        <f aca="false">IF(P19=0,99,(P14-P17-P18)/P19)</f>
        <v>1.08826848164651</v>
      </c>
      <c r="Q20" s="130" t="n">
        <f aca="false">IF(Q19=0,99,(Q14-Q17-Q18)/Q19)</f>
        <v>1.12645809727349</v>
      </c>
      <c r="R20" s="130" t="n">
        <f aca="false">IF(R19=0,99,(R14-R17-R18)/R19)</f>
        <v>1.18178256881213</v>
      </c>
      <c r="S20" s="130" t="n">
        <f aca="false">IF(S19=0,99,(S14-S17-S18)/S19)</f>
        <v>1.21328529225587</v>
      </c>
      <c r="T20" s="130" t="n">
        <f aca="false">IF(T19=0,99,(T14-T17-T18)/T19)</f>
        <v>1.20901785566205</v>
      </c>
      <c r="U20" s="130" t="n">
        <f aca="false">IF(U19=0,99,(U14-U17-U18)/U19)</f>
        <v>1.2283252334932</v>
      </c>
      <c r="V20" s="130" t="n">
        <f aca="false">IF(V19=0,99,(V14-V17-V18)/V19)</f>
        <v>1.65830066234248</v>
      </c>
      <c r="W20" s="130" t="n">
        <f aca="false">IF(W19=0,99,(W14-W17-W18)/W19)</f>
        <v>1.78338131957209</v>
      </c>
      <c r="X20" s="130" t="n">
        <f aca="false">IF(X19=0,99,(X14-X17-X18)/X19)</f>
        <v>1.83311760430531</v>
      </c>
      <c r="Y20" s="130" t="n">
        <f aca="false">IF(Y19=0,99,(Y14-Y17-Y18)/Y19)</f>
        <v>2.09414602425387</v>
      </c>
      <c r="Z20" s="130" t="n">
        <f aca="false">IF(Z19=0,99,(Z14-Z17-Z18)/Z19)</f>
        <v>2.12415906928647</v>
      </c>
      <c r="AA20" s="130" t="n">
        <f aca="false">IF(AA19=0,99,(AA14-AA17-AA18)/AA19)</f>
        <v>2.15399798968345</v>
      </c>
      <c r="AB20" s="130" t="n">
        <f aca="false">IF(AB19=0,99,(AB14-AB17-AB18)/AB19)</f>
        <v>2.23110804540934</v>
      </c>
    </row>
    <row r="21" customFormat="false" ht="15" hidden="false" customHeight="false" outlineLevel="0" collapsed="false">
      <c r="A21" s="27" t="s">
        <v>1565</v>
      </c>
      <c r="B21" s="63"/>
      <c r="E21" s="16" t="str">
        <f aca="false">IF(OR(Assumptions!E$204=6,Assumptions!E$204=12),IF(AND(E16&lt;=Assumptions!$C$168,E20&gt;=Assumptions!$C$169),"MET","BREACH"),"")</f>
        <v/>
      </c>
      <c r="F21" s="16" t="str">
        <f aca="false">IF(OR(Assumptions!F$204=6,Assumptions!F$204=12),IF(AND(F16&lt;=Assumptions!$C$168,F20&gt;=Assumptions!$C$169),"MET","BREACH"),"")</f>
        <v/>
      </c>
      <c r="G21" s="16" t="str">
        <f aca="false">IF(OR(Assumptions!G$204=6,Assumptions!G$204=12),IF(AND(G16&lt;=Assumptions!$C$168,G20&gt;=Assumptions!$C$169),"MET","BREACH"),"")</f>
        <v/>
      </c>
      <c r="H21" s="16" t="str">
        <f aca="false">IF(OR(Assumptions!H$204=6,Assumptions!H$204=12),IF(AND(H16&lt;=Assumptions!$C$168,H20&gt;=Assumptions!$C$169),"MET","BREACH"),"")</f>
        <v/>
      </c>
      <c r="I21" s="16" t="str">
        <f aca="false">IF(OR(Assumptions!I$204=6,Assumptions!I$204=12),IF(AND(I16&lt;=Assumptions!$C$168,I20&gt;=Assumptions!$C$169),"MET","BREACH"),"")</f>
        <v/>
      </c>
      <c r="J21" s="16" t="str">
        <f aca="false">IF(OR(Assumptions!J$204=6,Assumptions!J$204=12),IF(AND(J16&lt;=Assumptions!$C$168,J20&gt;=Assumptions!$C$169),"MET","BREACH"),"")</f>
        <v>MET</v>
      </c>
      <c r="K21" s="16" t="str">
        <f aca="false">IF(OR(Assumptions!K$204=6,Assumptions!K$204=12),IF(AND(K16&lt;=Assumptions!$C$168,K20&gt;=Assumptions!$C$169),"MET","BREACH"),"")</f>
        <v/>
      </c>
      <c r="L21" s="16" t="str">
        <f aca="false">IF(OR(Assumptions!L$204=6,Assumptions!L$204=12),IF(AND(L16&lt;=Assumptions!$C$168,L20&gt;=Assumptions!$C$169),"MET","BREACH"),"")</f>
        <v/>
      </c>
      <c r="M21" s="16" t="str">
        <f aca="false">IF(OR(Assumptions!M$204=6,Assumptions!M$204=12),IF(AND(M16&lt;=Assumptions!$C$168,M20&gt;=Assumptions!$C$169),"MET","BREACH"),"")</f>
        <v/>
      </c>
      <c r="N21" s="16" t="str">
        <f aca="false">IF(OR(Assumptions!N$204=6,Assumptions!N$204=12),IF(AND(N16&lt;=Assumptions!$C$168,N20&gt;=Assumptions!$C$169),"MET","BREACH"),"")</f>
        <v/>
      </c>
      <c r="O21" s="16" t="str">
        <f aca="false">IF(OR(Assumptions!O$204=6,Assumptions!O$204=12),IF(AND(O16&lt;=Assumptions!$C$168,O20&gt;=Assumptions!$C$169),"MET","BREACH"),"")</f>
        <v/>
      </c>
      <c r="P21" s="16" t="str">
        <f aca="false">IF(OR(Assumptions!P$204=6,Assumptions!P$204=12),IF(AND(P16&lt;=Assumptions!$C$168,P20&gt;=Assumptions!$C$169),"MET","BREACH"),"")</f>
        <v>BREACH</v>
      </c>
      <c r="Q21" s="16" t="str">
        <f aca="false">IF(OR(Assumptions!Q$204=6,Assumptions!Q$204=12),IF(AND(Q16&lt;=Assumptions!$C$168,Q20&gt;=Assumptions!$C$169),"MET","BREACH"),"")</f>
        <v/>
      </c>
      <c r="R21" s="16" t="str">
        <f aca="false">IF(OR(Assumptions!R$204=6,Assumptions!R$204=12),IF(AND(R16&lt;=Assumptions!$C$168,R20&gt;=Assumptions!$C$169),"MET","BREACH"),"")</f>
        <v/>
      </c>
      <c r="S21" s="16" t="str">
        <f aca="false">IF(OR(Assumptions!S$204=6,Assumptions!S$204=12),IF(AND(S16&lt;=Assumptions!$C$168,S20&gt;=Assumptions!$C$169),"MET","BREACH"),"")</f>
        <v/>
      </c>
      <c r="T21" s="16" t="str">
        <f aca="false">IF(OR(Assumptions!T$204=6,Assumptions!T$204=12),IF(AND(T16&lt;=Assumptions!$C$168,T20&gt;=Assumptions!$C$169),"MET","BREACH"),"")</f>
        <v/>
      </c>
      <c r="U21" s="16" t="str">
        <f aca="false">IF(OR(Assumptions!U$204=6,Assumptions!U$204=12),IF(AND(U16&lt;=Assumptions!$C$168,U20&gt;=Assumptions!$C$169),"MET","BREACH"),"")</f>
        <v/>
      </c>
      <c r="V21" s="16" t="str">
        <f aca="false">IF(OR(Assumptions!V$204=6,Assumptions!V$204=12),IF(AND(V16&lt;=Assumptions!$C$168,V20&gt;=Assumptions!$C$169),"MET","BREACH"),"")</f>
        <v>MET</v>
      </c>
      <c r="W21" s="16" t="str">
        <f aca="false">IF(OR(Assumptions!W$204=6,Assumptions!W$204=12),IF(AND(W16&lt;=Assumptions!$C$168,W20&gt;=Assumptions!$C$169),"MET","BREACH"),"")</f>
        <v/>
      </c>
      <c r="X21" s="16" t="str">
        <f aca="false">IF(OR(Assumptions!X$204=6,Assumptions!X$204=12),IF(AND(X16&lt;=Assumptions!$C$168,X20&gt;=Assumptions!$C$169),"MET","BREACH"),"")</f>
        <v/>
      </c>
      <c r="Y21" s="16" t="str">
        <f aca="false">IF(OR(Assumptions!Y$204=6,Assumptions!Y$204=12),IF(AND(Y16&lt;=Assumptions!$C$168,Y20&gt;=Assumptions!$C$169),"MET","BREACH"),"")</f>
        <v/>
      </c>
      <c r="Z21" s="16" t="str">
        <f aca="false">IF(OR(Assumptions!Z$204=6,Assumptions!Z$204=12),IF(AND(Z16&lt;=Assumptions!$C$168,Z20&gt;=Assumptions!$C$169),"MET","BREACH"),"")</f>
        <v/>
      </c>
      <c r="AA21" s="16" t="str">
        <f aca="false">IF(OR(Assumptions!AA$204=6,Assumptions!AA$204=12),IF(AND(AA16&lt;=Assumptions!$C$168,AA20&gt;=Assumptions!$C$169),"MET","BREACH"),"")</f>
        <v/>
      </c>
      <c r="AB21" s="16" t="str">
        <f aca="false">IF(OR(Assumptions!AB$204=6,Assumptions!AB$204=12),IF(AND(AB16&lt;=Assumptions!$C$168,AB20&gt;=Assumptions!$C$169),"MET","BREACH"),"")</f>
        <v>MET</v>
      </c>
    </row>
    <row r="22" customFormat="false" ht="15" hidden="false" customHeight="false" outlineLevel="0" collapsed="false">
      <c r="A22" s="27" t="s">
        <v>1566</v>
      </c>
      <c r="B22" s="63"/>
      <c r="C22" s="66" t="n">
        <f aca="false">P22</f>
        <v>-50648.2435721657</v>
      </c>
      <c r="D22" s="66" t="n">
        <f aca="false">AB22</f>
        <v>449391.218220647</v>
      </c>
      <c r="E22" s="67" t="n">
        <f aca="false">E14-E17-E18-Assumptions!$C$169*E19</f>
        <v>553880.181578234</v>
      </c>
      <c r="F22" s="67" t="n">
        <f aca="false">F14-F17-F18-Assumptions!$C$169*F19</f>
        <v>523637.036847212</v>
      </c>
      <c r="G22" s="67" t="n">
        <f aca="false">G14-G17-G18-Assumptions!$C$169*G19</f>
        <v>489310.591663609</v>
      </c>
      <c r="H22" s="67" t="n">
        <f aca="false">H14-H17-H18-Assumptions!$C$169*H19</f>
        <v>473105.668921567</v>
      </c>
      <c r="I22" s="67" t="n">
        <f aca="false">I14-I17-I18-Assumptions!$C$169*I19</f>
        <v>470482.693447333</v>
      </c>
      <c r="J22" s="67" t="n">
        <f aca="false">J14-J17-J18-Assumptions!$C$169*J19</f>
        <v>247551.753222197</v>
      </c>
      <c r="K22" s="67" t="n">
        <f aca="false">K14-K17-K18-Assumptions!$C$169*K19</f>
        <v>182678.103145479</v>
      </c>
      <c r="L22" s="67" t="n">
        <f aca="false">L14-L17-L18-Assumptions!$C$169*L19</f>
        <v>159720.652237446</v>
      </c>
      <c r="M22" s="67" t="n">
        <f aca="false">M14-M17-M18-Assumptions!$C$169*M19</f>
        <v>102144.90761119</v>
      </c>
      <c r="N22" s="67" t="n">
        <f aca="false">N14-N17-N18-Assumptions!$C$169*N19</f>
        <v>55728.0755969939</v>
      </c>
      <c r="O22" s="67" t="n">
        <f aca="false">O14-O17-O18-Assumptions!$C$169*O19</f>
        <v>9481.14744206623</v>
      </c>
      <c r="P22" s="67" t="n">
        <f aca="false">P14-P17-P18-Assumptions!$C$169*P19</f>
        <v>-50648.2435721657</v>
      </c>
      <c r="Q22" s="67" t="n">
        <f aca="false">Q14-Q17-Q18-Assumptions!$C$169*Q19</f>
        <v>-33263.0408143488</v>
      </c>
      <c r="R22" s="67" t="n">
        <f aca="false">R14-R17-R18-Assumptions!$C$169*R19</f>
        <v>-8221.0058746679</v>
      </c>
      <c r="S22" s="67" t="n">
        <f aca="false">S14-S17-S18-Assumptions!$C$169*S19</f>
        <v>5978.9744814646</v>
      </c>
      <c r="T22" s="67" t="n">
        <f aca="false">T14-T17-T18-Assumptions!$C$169*T19</f>
        <v>4046.07707222167</v>
      </c>
      <c r="U22" s="67" t="n">
        <f aca="false">U14-U17-U18-Assumptions!$C$169*U19</f>
        <v>12667.5070117112</v>
      </c>
      <c r="V22" s="67" t="n">
        <f aca="false">V14-V17-V18-Assumptions!$C$169*V19</f>
        <v>204261.49668632</v>
      </c>
      <c r="W22" s="67" t="n">
        <f aca="false">W14-W17-W18-Assumptions!$C$169*W19</f>
        <v>259098.291344002</v>
      </c>
      <c r="X22" s="67" t="n">
        <f aca="false">X14-X17-X18-Assumptions!$C$169*X19</f>
        <v>280154.516004911</v>
      </c>
      <c r="Y22" s="67" t="n">
        <f aca="false">Y14-Y17-Y18-Assumptions!$C$169*Y19</f>
        <v>394169.338753592</v>
      </c>
      <c r="Z22" s="67" t="n">
        <f aca="false">Z14-Z17-Z18-Assumptions!$C$169*Z19</f>
        <v>405859.823349357</v>
      </c>
      <c r="AA22" s="67" t="n">
        <f aca="false">AA14-AA17-AA18-Assumptions!$C$169*AA19</f>
        <v>417374.084950085</v>
      </c>
      <c r="AB22" s="67" t="n">
        <f aca="false">AB14-AB17-AB18-Assumptions!$C$169*AB19</f>
        <v>449391.218220647</v>
      </c>
    </row>
    <row r="23" customFormat="false" ht="15" hidden="false" customHeight="false" outlineLevel="0" collapsed="false">
      <c r="A23" s="27" t="s">
        <v>1567</v>
      </c>
      <c r="B23" s="63" t="s">
        <v>1498</v>
      </c>
      <c r="C23" s="131" t="n">
        <f aca="false">IF(Financing!P19=0,99,(Financing!P14-Financing!P17+Tax!P15-Tax!$C$21-Financing!P18)/Financing!P19)</f>
        <v>1.24949524712429</v>
      </c>
    </row>
    <row r="24" customFormat="false" ht="15" hidden="false" customHeight="false" outlineLevel="0" collapsed="false">
      <c r="A24" s="27" t="s">
        <v>1568</v>
      </c>
      <c r="B24" s="63" t="s">
        <v>1498</v>
      </c>
      <c r="C24" s="131" t="n">
        <f aca="false">IF(Financing!P19=0,99,(Financing!P14-Financing!P17+Tax!P15-Tax!$C$20-Financing!P18)/Financing!P19)</f>
        <v>1.08826848164651</v>
      </c>
    </row>
    <row r="25" customFormat="false" ht="15" hidden="false" customHeight="false" outlineLevel="0" collapsed="false">
      <c r="A25" s="21" t="s">
        <v>1569</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row>
    <row r="26" customFormat="false" ht="15" hidden="false" customHeight="false" outlineLevel="0" collapsed="false">
      <c r="A26" s="27" t="s">
        <v>1570</v>
      </c>
      <c r="B26" s="63" t="s">
        <v>1571</v>
      </c>
      <c r="C26" s="66" t="n">
        <f aca="false">SUM(E26:P26)</f>
        <v>360000</v>
      </c>
      <c r="D26" s="66" t="n">
        <f aca="false">SUM(Q26:AB26)</f>
        <v>0</v>
      </c>
      <c r="E26" s="67" t="n">
        <f aca="false">IF(E$5="A",Inputs_Actuals!E274,0)</f>
        <v>0</v>
      </c>
      <c r="F26" s="67" t="n">
        <f aca="false">IF(F$5="A",Inputs_Actuals!F274,0)</f>
        <v>0</v>
      </c>
      <c r="G26" s="67" t="n">
        <f aca="false">IF(G$5="A",Inputs_Actuals!G274,0)</f>
        <v>360000</v>
      </c>
      <c r="H26" s="67" t="n">
        <f aca="false">IF(H$5="A",Inputs_Actuals!H274,0)</f>
        <v>0</v>
      </c>
      <c r="I26" s="67" t="n">
        <f aca="false">IF(I$5="A",Inputs_Actuals!I274,0)</f>
        <v>0</v>
      </c>
      <c r="J26" s="67" t="n">
        <f aca="false">IF(J$5="A",Inputs_Actuals!J274,0)</f>
        <v>0</v>
      </c>
      <c r="K26" s="67" t="n">
        <f aca="false">IF(K$5="A",Inputs_Actuals!K274,0)</f>
        <v>0</v>
      </c>
      <c r="L26" s="67" t="n">
        <f aca="false">IF(L$5="A",Inputs_Actuals!L274,0)</f>
        <v>0</v>
      </c>
      <c r="M26" s="67" t="n">
        <f aca="false">IF(M$5="A",Inputs_Actuals!M274,0)</f>
        <v>0</v>
      </c>
      <c r="N26" s="67" t="n">
        <f aca="false">IF(N$5="A",Inputs_Actuals!N274,0)</f>
        <v>0</v>
      </c>
      <c r="O26" s="67" t="n">
        <f aca="false">IF(O$5="A",Inputs_Actuals!O274,0)</f>
        <v>0</v>
      </c>
      <c r="P26" s="67" t="n">
        <f aca="false">IF(P$5="A",Inputs_Actuals!P274,0)</f>
        <v>0</v>
      </c>
      <c r="Q26" s="67" t="n">
        <f aca="false">IF(Q$5="A",Inputs_Actuals!Q274,0)</f>
        <v>0</v>
      </c>
      <c r="R26" s="67" t="n">
        <f aca="false">IF(R$5="A",Inputs_Actuals!R274,0)</f>
        <v>0</v>
      </c>
      <c r="S26" s="67" t="n">
        <f aca="false">IF(S$5="A",Inputs_Actuals!S274,MIN(Assumptions!$F$195,Assumptions!$C$171)*MAX(0,PL!$C$54)*IF(Financing!P21="BREACH",0,1))</f>
        <v>0</v>
      </c>
      <c r="T26" s="67" t="n">
        <f aca="false">IF(T$5="A",Inputs_Actuals!T274,0)</f>
        <v>0</v>
      </c>
      <c r="U26" s="67" t="n">
        <f aca="false">IF(U$5="A",Inputs_Actuals!U274,0)</f>
        <v>0</v>
      </c>
      <c r="V26" s="67" t="n">
        <f aca="false">IF(V$5="A",Inputs_Actuals!V274,0)</f>
        <v>0</v>
      </c>
      <c r="W26" s="67" t="n">
        <f aca="false">IF(W$5="A",Inputs_Actuals!W274,0)</f>
        <v>0</v>
      </c>
      <c r="X26" s="67" t="n">
        <f aca="false">IF(X$5="A",Inputs_Actuals!X274,0)</f>
        <v>0</v>
      </c>
      <c r="Y26" s="67" t="n">
        <f aca="false">IF(Y$5="A",Inputs_Actuals!Y274,0)</f>
        <v>0</v>
      </c>
      <c r="Z26" s="67" t="n">
        <f aca="false">IF(Z$5="A",Inputs_Actuals!Z274,0)</f>
        <v>0</v>
      </c>
      <c r="AA26" s="67" t="n">
        <f aca="false">IF(AA$5="A",Inputs_Actuals!AA274,0)</f>
        <v>0</v>
      </c>
      <c r="AB26" s="67" t="n">
        <f aca="false">IF(AB$5="A",Inputs_Actuals!AB274,0)</f>
        <v>0</v>
      </c>
    </row>
    <row r="27" customFormat="false" ht="15" hidden="false" customHeight="false" outlineLevel="0" collapsed="false">
      <c r="A27" s="27" t="s">
        <v>1572</v>
      </c>
      <c r="B27" s="63" t="s">
        <v>1573</v>
      </c>
      <c r="C27" s="66" t="n">
        <f aca="false">SUM(E27:P27)</f>
        <v>259200</v>
      </c>
      <c r="D27" s="66" t="n">
        <f aca="false">SUM(Q27:AB27)</f>
        <v>0</v>
      </c>
      <c r="E27" s="67" t="n">
        <f aca="false">IF(E$5="A",Inputs_Actuals!E275,0)</f>
        <v>0</v>
      </c>
      <c r="F27" s="67" t="n">
        <f aca="false">IF(F$5="A",Inputs_Actuals!F275,0)</f>
        <v>0</v>
      </c>
      <c r="G27" s="67" t="n">
        <f aca="false">IF(G$5="A",Inputs_Actuals!G275,0)</f>
        <v>0</v>
      </c>
      <c r="H27" s="67" t="n">
        <f aca="false">IF(H$5="A",Inputs_Actuals!H275,0)</f>
        <v>0</v>
      </c>
      <c r="I27" s="67" t="n">
        <f aca="false">IF(I$5="A",Inputs_Actuals!I275,0)</f>
        <v>259200</v>
      </c>
      <c r="J27" s="67" t="n">
        <f aca="false">IF(J$5="A",Inputs_Actuals!J275,0)</f>
        <v>0</v>
      </c>
      <c r="K27" s="67" t="n">
        <f aca="false">IF(K$5="A",Inputs_Actuals!K275,0)</f>
        <v>0</v>
      </c>
      <c r="L27" s="67" t="n">
        <f aca="false">IF(L$5="A",Inputs_Actuals!L275,0)</f>
        <v>0</v>
      </c>
      <c r="M27" s="67" t="n">
        <f aca="false">IF(M$5="A",Inputs_Actuals!M275,0)</f>
        <v>0</v>
      </c>
      <c r="N27" s="67" t="n">
        <f aca="false">IF(N$5="A",Inputs_Actuals!N275,0)</f>
        <v>0</v>
      </c>
      <c r="O27" s="67" t="n">
        <f aca="false">IF(O$5="A",Inputs_Actuals!O275,0)</f>
        <v>0</v>
      </c>
      <c r="P27" s="67" t="n">
        <f aca="false">IF(P$5="A",Inputs_Actuals!P275,0)</f>
        <v>0</v>
      </c>
      <c r="Q27" s="67" t="n">
        <f aca="false">IF(Q$5="A",Inputs_Actuals!Q275,0)</f>
        <v>0</v>
      </c>
      <c r="R27" s="67" t="n">
        <f aca="false">IF(R$5="A",Inputs_Actuals!R275,0)</f>
        <v>0</v>
      </c>
      <c r="S27" s="67" t="n">
        <f aca="false">IF(S$5="A",Inputs_Actuals!S275,0)</f>
        <v>0</v>
      </c>
      <c r="T27" s="67" t="n">
        <f aca="false">IF(T$5="A",Inputs_Actuals!T275,0)</f>
        <v>0</v>
      </c>
      <c r="U27" s="67" t="n">
        <f aca="false">IF(U$5="A",Inputs_Actuals!U275,S26*(1-Assumptions!$C$33))</f>
        <v>0</v>
      </c>
      <c r="V27" s="67" t="n">
        <f aca="false">IF(V$5="A",Inputs_Actuals!V275,0)</f>
        <v>0</v>
      </c>
      <c r="W27" s="67" t="n">
        <f aca="false">IF(W$5="A",Inputs_Actuals!W275,0)</f>
        <v>0</v>
      </c>
      <c r="X27" s="67" t="n">
        <f aca="false">IF(X$5="A",Inputs_Actuals!X275,0)</f>
        <v>0</v>
      </c>
      <c r="Y27" s="67" t="n">
        <f aca="false">IF(Y$5="A",Inputs_Actuals!Y275,0)</f>
        <v>0</v>
      </c>
      <c r="Z27" s="67" t="n">
        <f aca="false">IF(Z$5="A",Inputs_Actuals!Z275,0)</f>
        <v>0</v>
      </c>
      <c r="AA27" s="67" t="n">
        <f aca="false">IF(AA$5="A",Inputs_Actuals!AA275,0)</f>
        <v>0</v>
      </c>
      <c r="AB27" s="67" t="n">
        <f aca="false">IF(AB$5="A",Inputs_Actuals!AB275,0)</f>
        <v>0</v>
      </c>
    </row>
    <row r="28" customFormat="false" ht="15" hidden="false" customHeight="false" outlineLevel="0" collapsed="false">
      <c r="A28" s="27" t="s">
        <v>1574</v>
      </c>
      <c r="B28" s="63" t="s">
        <v>1575</v>
      </c>
      <c r="C28" s="66" t="n">
        <f aca="false">SUM(E28:P28)</f>
        <v>100800</v>
      </c>
      <c r="D28" s="66" t="n">
        <f aca="false">SUM(Q28:AB28)</f>
        <v>0</v>
      </c>
      <c r="E28" s="67" t="n">
        <f aca="false">E27*Assumptions!$C$33/(1-Assumptions!$C$33)</f>
        <v>0</v>
      </c>
      <c r="F28" s="67" t="n">
        <f aca="false">F27*Assumptions!$C$33/(1-Assumptions!$C$33)</f>
        <v>0</v>
      </c>
      <c r="G28" s="67" t="n">
        <f aca="false">G27*Assumptions!$C$33/(1-Assumptions!$C$33)</f>
        <v>0</v>
      </c>
      <c r="H28" s="67" t="n">
        <f aca="false">H27*Assumptions!$C$33/(1-Assumptions!$C$33)</f>
        <v>0</v>
      </c>
      <c r="I28" s="67" t="n">
        <f aca="false">I27*Assumptions!$C$33/(1-Assumptions!$C$33)</f>
        <v>100800</v>
      </c>
      <c r="J28" s="67" t="n">
        <f aca="false">J27*Assumptions!$C$33/(1-Assumptions!$C$33)</f>
        <v>0</v>
      </c>
      <c r="K28" s="67" t="n">
        <f aca="false">K27*Assumptions!$C$33/(1-Assumptions!$C$33)</f>
        <v>0</v>
      </c>
      <c r="L28" s="67" t="n">
        <f aca="false">L27*Assumptions!$C$33/(1-Assumptions!$C$33)</f>
        <v>0</v>
      </c>
      <c r="M28" s="67" t="n">
        <f aca="false">M27*Assumptions!$C$33/(1-Assumptions!$C$33)</f>
        <v>0</v>
      </c>
      <c r="N28" s="67" t="n">
        <f aca="false">N27*Assumptions!$C$33/(1-Assumptions!$C$33)</f>
        <v>0</v>
      </c>
      <c r="O28" s="67" t="n">
        <f aca="false">O27*Assumptions!$C$33/(1-Assumptions!$C$33)</f>
        <v>0</v>
      </c>
      <c r="P28" s="67" t="n">
        <f aca="false">P27*Assumptions!$C$33/(1-Assumptions!$C$33)</f>
        <v>0</v>
      </c>
      <c r="Q28" s="67" t="n">
        <f aca="false">Q27*Assumptions!$C$33/(1-Assumptions!$C$33)</f>
        <v>0</v>
      </c>
      <c r="R28" s="67" t="n">
        <f aca="false">R27*Assumptions!$C$33/(1-Assumptions!$C$33)</f>
        <v>0</v>
      </c>
      <c r="S28" s="67" t="n">
        <f aca="false">S27*Assumptions!$C$33/(1-Assumptions!$C$33)</f>
        <v>0</v>
      </c>
      <c r="T28" s="67" t="n">
        <f aca="false">T27*Assumptions!$C$33/(1-Assumptions!$C$33)</f>
        <v>0</v>
      </c>
      <c r="U28" s="67" t="n">
        <f aca="false">U27*Assumptions!$C$33/(1-Assumptions!$C$33)</f>
        <v>0</v>
      </c>
      <c r="V28" s="67" t="n">
        <f aca="false">V27*Assumptions!$C$33/(1-Assumptions!$C$33)</f>
        <v>0</v>
      </c>
      <c r="W28" s="67" t="n">
        <f aca="false">W27*Assumptions!$C$33/(1-Assumptions!$C$33)</f>
        <v>0</v>
      </c>
      <c r="X28" s="67" t="n">
        <f aca="false">X27*Assumptions!$C$33/(1-Assumptions!$C$33)</f>
        <v>0</v>
      </c>
      <c r="Y28" s="67" t="n">
        <f aca="false">Y27*Assumptions!$C$33/(1-Assumptions!$C$33)</f>
        <v>0</v>
      </c>
      <c r="Z28" s="67" t="n">
        <f aca="false">Z27*Assumptions!$C$33/(1-Assumptions!$C$33)</f>
        <v>0</v>
      </c>
      <c r="AA28" s="67" t="n">
        <f aca="false">AA27*Assumptions!$C$33/(1-Assumptions!$C$33)</f>
        <v>0</v>
      </c>
      <c r="AB28" s="67" t="n">
        <f aca="false">AB27*Assumptions!$C$33/(1-Assumptions!$C$33)</f>
        <v>0</v>
      </c>
    </row>
    <row r="29" customFormat="false" ht="15" hidden="false" customHeight="false" outlineLevel="0" collapsed="false">
      <c r="A29" s="59" t="s">
        <v>1576</v>
      </c>
      <c r="B29" s="60" t="s">
        <v>1577</v>
      </c>
      <c r="C29" s="61" t="n">
        <f aca="false">P29</f>
        <v>0</v>
      </c>
      <c r="D29" s="61" t="n">
        <f aca="false">AB29</f>
        <v>0</v>
      </c>
      <c r="E29" s="61" t="n">
        <f aca="false">0+E26-E27-E28</f>
        <v>0</v>
      </c>
      <c r="F29" s="61" t="n">
        <f aca="false">E29+F26-F27-F28</f>
        <v>0</v>
      </c>
      <c r="G29" s="61" t="n">
        <f aca="false">F29+G26-G27-G28</f>
        <v>360000</v>
      </c>
      <c r="H29" s="61" t="n">
        <f aca="false">G29+H26-H27-H28</f>
        <v>360000</v>
      </c>
      <c r="I29" s="61" t="n">
        <f aca="false">H29+I26-I27-I28</f>
        <v>0</v>
      </c>
      <c r="J29" s="61" t="n">
        <f aca="false">I29+J26-J27-J28</f>
        <v>0</v>
      </c>
      <c r="K29" s="61" t="n">
        <f aca="false">J29+K26-K27-K28</f>
        <v>0</v>
      </c>
      <c r="L29" s="61" t="n">
        <f aca="false">K29+L26-L27-L28</f>
        <v>0</v>
      </c>
      <c r="M29" s="61" t="n">
        <f aca="false">L29+M26-M27-M28</f>
        <v>0</v>
      </c>
      <c r="N29" s="61" t="n">
        <f aca="false">M29+N26-N27-N28</f>
        <v>0</v>
      </c>
      <c r="O29" s="61" t="n">
        <f aca="false">N29+O26-O27-O28</f>
        <v>0</v>
      </c>
      <c r="P29" s="61" t="n">
        <f aca="false">O29+P26-P27-P28</f>
        <v>0</v>
      </c>
      <c r="Q29" s="61" t="n">
        <f aca="false">P29+Q26-Q27-Q28</f>
        <v>0</v>
      </c>
      <c r="R29" s="61" t="n">
        <f aca="false">Q29+R26-R27-R28</f>
        <v>0</v>
      </c>
      <c r="S29" s="61" t="n">
        <f aca="false">R29+S26-S27-S28</f>
        <v>0</v>
      </c>
      <c r="T29" s="61" t="n">
        <f aca="false">S29+T26-T27-T28</f>
        <v>0</v>
      </c>
      <c r="U29" s="61" t="n">
        <f aca="false">T29+U26-U27-U28</f>
        <v>0</v>
      </c>
      <c r="V29" s="61" t="n">
        <f aca="false">U29+V26-V27-V28</f>
        <v>0</v>
      </c>
      <c r="W29" s="61" t="n">
        <f aca="false">V29+W26-W27-W28</f>
        <v>0</v>
      </c>
      <c r="X29" s="61" t="n">
        <f aca="false">W29+X26-X27-X28</f>
        <v>0</v>
      </c>
      <c r="Y29" s="61" t="n">
        <f aca="false">X29+Y26-Y27-Y28</f>
        <v>0</v>
      </c>
      <c r="Z29" s="61" t="n">
        <f aca="false">Y29+Z26-Z27-Z28</f>
        <v>0</v>
      </c>
      <c r="AA29" s="61" t="n">
        <f aca="false">Z29+AA26-AA27-AA28</f>
        <v>0</v>
      </c>
      <c r="AB29" s="61" t="n">
        <f aca="false">AA29+AB26-AB27-AB28</f>
        <v>0</v>
      </c>
    </row>
    <row r="30" customFormat="false" ht="15" hidden="false" customHeight="false" outlineLevel="0" collapsed="false">
      <c r="A30" s="27" t="s">
        <v>1578</v>
      </c>
      <c r="B30" s="63" t="s">
        <v>1268</v>
      </c>
      <c r="C30" s="66" t="n">
        <f aca="false">SUM(E30:P30)</f>
        <v>100800</v>
      </c>
      <c r="D30" s="66" t="n">
        <f aca="false">SUM(Q30:AB30)</f>
        <v>0</v>
      </c>
      <c r="E30" s="67" t="n">
        <f aca="false">IF(E$5="A",Inputs_Actuals!E276,Inputs_Actuals!$C$310)</f>
        <v>0</v>
      </c>
      <c r="F30" s="67" t="n">
        <f aca="false">IF(F$5="A",Inputs_Actuals!F276,E31)</f>
        <v>0</v>
      </c>
      <c r="G30" s="67" t="n">
        <f aca="false">IF(G$5="A",Inputs_Actuals!G276,F31)</f>
        <v>0</v>
      </c>
      <c r="H30" s="67" t="n">
        <f aca="false">IF(H$5="A",Inputs_Actuals!H276,G31)</f>
        <v>0</v>
      </c>
      <c r="I30" s="67" t="n">
        <f aca="false">IF(I$5="A",Inputs_Actuals!I276,H31)</f>
        <v>0</v>
      </c>
      <c r="J30" s="67" t="n">
        <f aca="false">IF(J$5="A",Inputs_Actuals!J276,I31)</f>
        <v>100800</v>
      </c>
      <c r="K30" s="67" t="n">
        <f aca="false">IF(K$5="A",Inputs_Actuals!K276,J31)</f>
        <v>0</v>
      </c>
      <c r="L30" s="67" t="n">
        <f aca="false">IF(L$5="A",Inputs_Actuals!L276,K31)</f>
        <v>0</v>
      </c>
      <c r="M30" s="67" t="n">
        <f aca="false">IF(M$5="A",Inputs_Actuals!M276,L31)</f>
        <v>0</v>
      </c>
      <c r="N30" s="67" t="n">
        <f aca="false">IF(N$5="A",Inputs_Actuals!N276,M31)</f>
        <v>0</v>
      </c>
      <c r="O30" s="67" t="n">
        <f aca="false">IF(O$5="A",Inputs_Actuals!O276,N31)</f>
        <v>0</v>
      </c>
      <c r="P30" s="67" t="n">
        <f aca="false">IF(P$5="A",Inputs_Actuals!P276,O31)</f>
        <v>0</v>
      </c>
      <c r="Q30" s="67" t="n">
        <f aca="false">IF(Q$5="A",Inputs_Actuals!Q276,P31)</f>
        <v>0</v>
      </c>
      <c r="R30" s="67" t="n">
        <f aca="false">IF(R$5="A",Inputs_Actuals!R276,Q31)</f>
        <v>0</v>
      </c>
      <c r="S30" s="67" t="n">
        <f aca="false">IF(S$5="A",Inputs_Actuals!S276,R31)</f>
        <v>0</v>
      </c>
      <c r="T30" s="67" t="n">
        <f aca="false">IF(T$5="A",Inputs_Actuals!T276,S31)</f>
        <v>0</v>
      </c>
      <c r="U30" s="67" t="n">
        <f aca="false">IF(U$5="A",Inputs_Actuals!U276,T31)</f>
        <v>0</v>
      </c>
      <c r="V30" s="67" t="n">
        <f aca="false">IF(V$5="A",Inputs_Actuals!V276,U31)</f>
        <v>0</v>
      </c>
      <c r="W30" s="67" t="n">
        <f aca="false">IF(W$5="A",Inputs_Actuals!W276,V31)</f>
        <v>0</v>
      </c>
      <c r="X30" s="67" t="n">
        <f aca="false">IF(X$5="A",Inputs_Actuals!X276,W31)</f>
        <v>0</v>
      </c>
      <c r="Y30" s="67" t="n">
        <f aca="false">IF(Y$5="A",Inputs_Actuals!Y276,X31)</f>
        <v>0</v>
      </c>
      <c r="Z30" s="67" t="n">
        <f aca="false">IF(Z$5="A",Inputs_Actuals!Z276,Y31)</f>
        <v>0</v>
      </c>
      <c r="AA30" s="67" t="n">
        <f aca="false">IF(AA$5="A",Inputs_Actuals!AA276,Z31)</f>
        <v>0</v>
      </c>
      <c r="AB30" s="67" t="n">
        <f aca="false">IF(AB$5="A",Inputs_Actuals!AB276,AA31)</f>
        <v>0</v>
      </c>
    </row>
    <row r="31" customFormat="false" ht="15" hidden="false" customHeight="false" outlineLevel="0" collapsed="false">
      <c r="A31" s="59" t="s">
        <v>1579</v>
      </c>
      <c r="B31" s="60"/>
      <c r="C31" s="61" t="n">
        <f aca="false">P31</f>
        <v>0</v>
      </c>
      <c r="D31" s="61" t="n">
        <f aca="false">AB31</f>
        <v>0</v>
      </c>
      <c r="E31" s="62" t="n">
        <f aca="false">Inputs_Actuals!$C$310+E28-E30</f>
        <v>0</v>
      </c>
      <c r="F31" s="61" t="n">
        <f aca="false">E31+F28-F30</f>
        <v>0</v>
      </c>
      <c r="G31" s="61" t="n">
        <f aca="false">F31+G28-G30</f>
        <v>0</v>
      </c>
      <c r="H31" s="61" t="n">
        <f aca="false">G31+H28-H30</f>
        <v>0</v>
      </c>
      <c r="I31" s="61" t="n">
        <f aca="false">H31+I28-I30</f>
        <v>100800</v>
      </c>
      <c r="J31" s="61" t="n">
        <f aca="false">I31+J28-J30</f>
        <v>0</v>
      </c>
      <c r="K31" s="61" t="n">
        <f aca="false">J31+K28-K30</f>
        <v>0</v>
      </c>
      <c r="L31" s="61" t="n">
        <f aca="false">K31+L28-L30</f>
        <v>0</v>
      </c>
      <c r="M31" s="61" t="n">
        <f aca="false">L31+M28-M30</f>
        <v>0</v>
      </c>
      <c r="N31" s="61" t="n">
        <f aca="false">M31+N28-N30</f>
        <v>0</v>
      </c>
      <c r="O31" s="61" t="n">
        <f aca="false">N31+O28-O30</f>
        <v>0</v>
      </c>
      <c r="P31" s="61" t="n">
        <f aca="false">O31+P28-P30</f>
        <v>0</v>
      </c>
      <c r="Q31" s="61" t="n">
        <f aca="false">P31+Q28-Q30</f>
        <v>0</v>
      </c>
      <c r="R31" s="61" t="n">
        <f aca="false">Q31+R28-R30</f>
        <v>0</v>
      </c>
      <c r="S31" s="61" t="n">
        <f aca="false">R31+S28-S30</f>
        <v>0</v>
      </c>
      <c r="T31" s="61" t="n">
        <f aca="false">S31+T28-T30</f>
        <v>0</v>
      </c>
      <c r="U31" s="61" t="n">
        <f aca="false">T31+U28-U30</f>
        <v>0</v>
      </c>
      <c r="V31" s="61" t="n">
        <f aca="false">U31+V28-V30</f>
        <v>0</v>
      </c>
      <c r="W31" s="61" t="n">
        <f aca="false">V31+W28-W30</f>
        <v>0</v>
      </c>
      <c r="X31" s="61" t="n">
        <f aca="false">W31+X28-X30</f>
        <v>0</v>
      </c>
      <c r="Y31" s="61" t="n">
        <f aca="false">X31+Y28-Y30</f>
        <v>0</v>
      </c>
      <c r="Z31" s="61" t="n">
        <f aca="false">Y31+Z28-Z30</f>
        <v>0</v>
      </c>
      <c r="AA31" s="61" t="n">
        <f aca="false">Z31+AA28-AA30</f>
        <v>0</v>
      </c>
      <c r="AB31" s="61" t="n">
        <f aca="false">AA31+AB28-AB30</f>
        <v>0</v>
      </c>
    </row>
    <row r="32" customFormat="false" ht="15" hidden="false" customHeight="false" outlineLevel="0" collapsed="false">
      <c r="A32" s="27" t="s">
        <v>493</v>
      </c>
      <c r="B32" s="63" t="s">
        <v>465</v>
      </c>
      <c r="C32" s="66" t="n">
        <f aca="false">P32</f>
        <v>50000</v>
      </c>
      <c r="D32" s="66" t="n">
        <f aca="false">AB32</f>
        <v>50000</v>
      </c>
      <c r="E32" s="67" t="n">
        <f aca="false">Inputs_Actuals!$C$312</f>
        <v>50000</v>
      </c>
      <c r="F32" s="67" t="n">
        <f aca="false">Inputs_Actuals!$C$312</f>
        <v>50000</v>
      </c>
      <c r="G32" s="67" t="n">
        <f aca="false">Inputs_Actuals!$C$312</f>
        <v>50000</v>
      </c>
      <c r="H32" s="67" t="n">
        <f aca="false">Inputs_Actuals!$C$312</f>
        <v>50000</v>
      </c>
      <c r="I32" s="67" t="n">
        <f aca="false">Inputs_Actuals!$C$312</f>
        <v>50000</v>
      </c>
      <c r="J32" s="67" t="n">
        <f aca="false">Inputs_Actuals!$C$312</f>
        <v>50000</v>
      </c>
      <c r="K32" s="67" t="n">
        <f aca="false">Inputs_Actuals!$C$312</f>
        <v>50000</v>
      </c>
      <c r="L32" s="67" t="n">
        <f aca="false">Inputs_Actuals!$C$312</f>
        <v>50000</v>
      </c>
      <c r="M32" s="67" t="n">
        <f aca="false">Inputs_Actuals!$C$312</f>
        <v>50000</v>
      </c>
      <c r="N32" s="67" t="n">
        <f aca="false">Inputs_Actuals!$C$312</f>
        <v>50000</v>
      </c>
      <c r="O32" s="67" t="n">
        <f aca="false">Inputs_Actuals!$C$312</f>
        <v>50000</v>
      </c>
      <c r="P32" s="67" t="n">
        <f aca="false">Inputs_Actuals!$C$312</f>
        <v>50000</v>
      </c>
      <c r="Q32" s="67" t="n">
        <f aca="false">Inputs_Actuals!$C$312</f>
        <v>50000</v>
      </c>
      <c r="R32" s="67" t="n">
        <f aca="false">Inputs_Actuals!$C$312</f>
        <v>50000</v>
      </c>
      <c r="S32" s="67" t="n">
        <f aca="false">Inputs_Actuals!$C$312</f>
        <v>50000</v>
      </c>
      <c r="T32" s="67" t="n">
        <f aca="false">Inputs_Actuals!$C$312</f>
        <v>50000</v>
      </c>
      <c r="U32" s="67" t="n">
        <f aca="false">Inputs_Actuals!$C$312</f>
        <v>50000</v>
      </c>
      <c r="V32" s="67" t="n">
        <f aca="false">Inputs_Actuals!$C$312</f>
        <v>50000</v>
      </c>
      <c r="W32" s="67" t="n">
        <f aca="false">Inputs_Actuals!$C$312</f>
        <v>50000</v>
      </c>
      <c r="X32" s="67" t="n">
        <f aca="false">Inputs_Actuals!$C$312</f>
        <v>50000</v>
      </c>
      <c r="Y32" s="67" t="n">
        <f aca="false">Inputs_Actuals!$C$312</f>
        <v>50000</v>
      </c>
      <c r="Z32" s="67" t="n">
        <f aca="false">Inputs_Actuals!$C$312</f>
        <v>50000</v>
      </c>
      <c r="AA32" s="67" t="n">
        <f aca="false">Inputs_Actuals!$C$312</f>
        <v>50000</v>
      </c>
      <c r="AB32" s="67" t="n">
        <f aca="false">Inputs_Actuals!$C$312</f>
        <v>50000</v>
      </c>
    </row>
    <row r="33" customFormat="false" ht="15" hidden="false" customHeight="false" outlineLevel="0" collapsed="false">
      <c r="A33" s="27" t="s">
        <v>1580</v>
      </c>
      <c r="B33" s="63" t="s">
        <v>465</v>
      </c>
      <c r="C33" s="66" t="n">
        <f aca="false">P33</f>
        <v>10000</v>
      </c>
      <c r="D33" s="66" t="n">
        <f aca="false">AB33</f>
        <v>10000</v>
      </c>
      <c r="E33" s="67" t="n">
        <f aca="false">Inputs_Actuals!$C$313</f>
        <v>10000</v>
      </c>
      <c r="F33" s="67" t="n">
        <f aca="false">Inputs_Actuals!$C$313</f>
        <v>10000</v>
      </c>
      <c r="G33" s="67" t="n">
        <f aca="false">Inputs_Actuals!$C$313</f>
        <v>10000</v>
      </c>
      <c r="H33" s="67" t="n">
        <f aca="false">Inputs_Actuals!$C$313</f>
        <v>10000</v>
      </c>
      <c r="I33" s="67" t="n">
        <f aca="false">Inputs_Actuals!$C$313</f>
        <v>10000</v>
      </c>
      <c r="J33" s="67" t="n">
        <f aca="false">Inputs_Actuals!$C$313</f>
        <v>10000</v>
      </c>
      <c r="K33" s="67" t="n">
        <f aca="false">Inputs_Actuals!$C$313</f>
        <v>10000</v>
      </c>
      <c r="L33" s="67" t="n">
        <f aca="false">Inputs_Actuals!$C$313</f>
        <v>10000</v>
      </c>
      <c r="M33" s="67" t="n">
        <f aca="false">Inputs_Actuals!$C$313</f>
        <v>10000</v>
      </c>
      <c r="N33" s="67" t="n">
        <f aca="false">Inputs_Actuals!$C$313</f>
        <v>10000</v>
      </c>
      <c r="O33" s="67" t="n">
        <f aca="false">Inputs_Actuals!$C$313</f>
        <v>10000</v>
      </c>
      <c r="P33" s="67" t="n">
        <f aca="false">Inputs_Actuals!$C$313</f>
        <v>10000</v>
      </c>
      <c r="Q33" s="67" t="n">
        <f aca="false">Inputs_Actuals!$C$313</f>
        <v>10000</v>
      </c>
      <c r="R33" s="67" t="n">
        <f aca="false">Inputs_Actuals!$C$313</f>
        <v>10000</v>
      </c>
      <c r="S33" s="67" t="n">
        <f aca="false">Inputs_Actuals!$C$313</f>
        <v>10000</v>
      </c>
      <c r="T33" s="67" t="n">
        <f aca="false">Inputs_Actuals!$C$313</f>
        <v>10000</v>
      </c>
      <c r="U33" s="67" t="n">
        <f aca="false">Inputs_Actuals!$C$313</f>
        <v>10000</v>
      </c>
      <c r="V33" s="67" t="n">
        <f aca="false">Inputs_Actuals!$C$313</f>
        <v>10000</v>
      </c>
      <c r="W33" s="67" t="n">
        <f aca="false">Inputs_Actuals!$C$313</f>
        <v>10000</v>
      </c>
      <c r="X33" s="67" t="n">
        <f aca="false">Inputs_Actuals!$C$313</f>
        <v>10000</v>
      </c>
      <c r="Y33" s="67" t="n">
        <f aca="false">Inputs_Actuals!$C$313</f>
        <v>10000</v>
      </c>
      <c r="Z33" s="67" t="n">
        <f aca="false">Inputs_Actuals!$C$313</f>
        <v>10000</v>
      </c>
      <c r="AA33" s="67" t="n">
        <f aca="false">Inputs_Actuals!$C$313</f>
        <v>10000</v>
      </c>
      <c r="AB33" s="67" t="n">
        <f aca="false">Inputs_Actuals!$C$313</f>
        <v>10000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H4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8"/>
    <col collapsed="false" customWidth="true" hidden="false" outlineLevel="0" max="3" min="3" style="0" width="7"/>
    <col collapsed="false" customWidth="true" hidden="false" outlineLevel="0" max="4" min="4" style="0" width="14"/>
    <col collapsed="false" customWidth="true" hidden="false" outlineLevel="0" max="5" min="5" style="0" width="7"/>
    <col collapsed="false" customWidth="true" hidden="false" outlineLevel="0" max="6" min="6" style="0" width="9"/>
    <col collapsed="false" customWidth="true" hidden="false" outlineLevel="0" max="7" min="7" style="0" width="7"/>
    <col collapsed="false" customWidth="true" hidden="false" outlineLevel="0" max="8" min="8" style="0" width="14"/>
    <col collapsed="false" customWidth="true" hidden="false" outlineLevel="0" max="12" min="9" style="0" width="8"/>
    <col collapsed="false" customWidth="true" hidden="false" outlineLevel="0" max="14" min="13" style="0" width="7"/>
    <col collapsed="false" customWidth="true" hidden="false" outlineLevel="0" max="15" min="15" style="0" width="9"/>
    <col collapsed="false" customWidth="true" hidden="false" outlineLevel="0" max="20" min="16" style="0" width="8"/>
    <col collapsed="false" customWidth="true" hidden="false" outlineLevel="0" max="24" min="21" style="0" width="9"/>
    <col collapsed="false" customWidth="true" hidden="false" outlineLevel="0" max="26" min="25" style="0" width="8"/>
    <col collapsed="false" customWidth="true" hidden="false" outlineLevel="0" max="27" min="27" style="0" width="10"/>
    <col collapsed="false" customWidth="true" hidden="false" outlineLevel="0" max="29" min="28" style="0" width="11"/>
    <col collapsed="false" customWidth="true" hidden="false" outlineLevel="0" max="30" min="30" style="0" width="7"/>
    <col collapsed="false" customWidth="true" hidden="false" outlineLevel="0" max="31" min="31" style="0" width="11"/>
    <col collapsed="false" customWidth="true" hidden="false" outlineLevel="0" max="32" min="32" style="0" width="10"/>
    <col collapsed="false" customWidth="true" hidden="false" outlineLevel="0" max="33" min="33" style="0" width="7"/>
    <col collapsed="false" customWidth="true" hidden="false" outlineLevel="0" max="34" min="34" style="0" width="60"/>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1581</v>
      </c>
    </row>
    <row r="3" customFormat="false" ht="15" hidden="false" customHeight="false" outlineLevel="0" collapsed="false">
      <c r="A3" s="24" t="s">
        <v>1582</v>
      </c>
    </row>
    <row r="6" customFormat="false" ht="90" hidden="false" customHeight="true" outlineLevel="0" collapsed="false">
      <c r="A6" s="25" t="s">
        <v>1583</v>
      </c>
      <c r="B6" s="26" t="s">
        <v>1584</v>
      </c>
      <c r="C6" s="26" t="s">
        <v>1585</v>
      </c>
      <c r="D6" s="26" t="s">
        <v>1586</v>
      </c>
      <c r="E6" s="26" t="s">
        <v>1587</v>
      </c>
      <c r="F6" s="26" t="s">
        <v>1588</v>
      </c>
      <c r="G6" s="26" t="s">
        <v>1589</v>
      </c>
      <c r="H6" s="26" t="s">
        <v>155</v>
      </c>
      <c r="I6" s="26" t="s">
        <v>1590</v>
      </c>
      <c r="J6" s="26" t="s">
        <v>1591</v>
      </c>
      <c r="K6" s="26" t="s">
        <v>1592</v>
      </c>
      <c r="L6" s="26" t="s">
        <v>1593</v>
      </c>
      <c r="M6" s="26" t="s">
        <v>1594</v>
      </c>
      <c r="N6" s="26" t="s">
        <v>1595</v>
      </c>
      <c r="O6" s="26" t="s">
        <v>1596</v>
      </c>
      <c r="P6" s="26" t="s">
        <v>1597</v>
      </c>
      <c r="Q6" s="26" t="s">
        <v>1598</v>
      </c>
      <c r="R6" s="26" t="s">
        <v>1599</v>
      </c>
      <c r="S6" s="26" t="s">
        <v>1600</v>
      </c>
      <c r="T6" s="26" t="s">
        <v>1601</v>
      </c>
      <c r="U6" s="26" t="s">
        <v>1602</v>
      </c>
      <c r="V6" s="26" t="s">
        <v>1603</v>
      </c>
      <c r="W6" s="26" t="s">
        <v>1604</v>
      </c>
      <c r="X6" s="26" t="s">
        <v>1605</v>
      </c>
      <c r="Y6" s="26" t="s">
        <v>1606</v>
      </c>
      <c r="Z6" s="26" t="s">
        <v>1607</v>
      </c>
      <c r="AA6" s="26" t="s">
        <v>1608</v>
      </c>
      <c r="AB6" s="26" t="s">
        <v>1609</v>
      </c>
      <c r="AC6" s="26" t="s">
        <v>1610</v>
      </c>
      <c r="AD6" s="26" t="s">
        <v>1611</v>
      </c>
      <c r="AE6" s="26" t="s">
        <v>1612</v>
      </c>
      <c r="AF6" s="26" t="s">
        <v>1613</v>
      </c>
      <c r="AG6" s="26" t="s">
        <v>1614</v>
      </c>
      <c r="AH6" s="26" t="s">
        <v>1615</v>
      </c>
    </row>
    <row r="7" customFormat="false" ht="35.05" hidden="false" customHeight="false" outlineLevel="0" collapsed="false">
      <c r="A7" s="132" t="s">
        <v>813</v>
      </c>
      <c r="B7" s="132" t="s">
        <v>1335</v>
      </c>
      <c r="C7" s="132" t="s">
        <v>1616</v>
      </c>
      <c r="D7" s="132" t="s">
        <v>1617</v>
      </c>
      <c r="E7" s="79" t="n">
        <f aca="false">IF(C7="PT",Assumptions!$C$18,0)</f>
        <v>0.23</v>
      </c>
      <c r="F7" s="133" t="n">
        <v>44286</v>
      </c>
      <c r="G7" s="84" t="n">
        <f aca="false">((YEAR(F7)-YEAR(Assumptions!$C$8))*12+MONTH(F7)-MONTH(Assumptions!$C$8)+1)</f>
        <v>-57</v>
      </c>
      <c r="H7" s="132" t="s">
        <v>1618</v>
      </c>
      <c r="I7" s="115" t="n">
        <v>420</v>
      </c>
      <c r="J7" s="115" t="n">
        <v>95</v>
      </c>
      <c r="K7" s="134" t="n">
        <v>38.5</v>
      </c>
      <c r="L7" s="134" t="n">
        <v>64</v>
      </c>
      <c r="M7" s="135" t="n">
        <v>0.002</v>
      </c>
      <c r="N7" s="136" t="n">
        <v>45</v>
      </c>
      <c r="O7" s="132" t="s">
        <v>1619</v>
      </c>
      <c r="P7" s="137" t="n">
        <v>0.9</v>
      </c>
      <c r="Q7" s="137" t="n">
        <v>0.5</v>
      </c>
      <c r="R7" s="137" t="n">
        <v>0.95</v>
      </c>
      <c r="S7" s="79" t="n">
        <f aca="false">CHOOSE(Assumptions!$C$11,P7,Q7,R7)</f>
        <v>0.9</v>
      </c>
      <c r="T7" s="84" t="n">
        <f aca="false">G7</f>
        <v>-57</v>
      </c>
      <c r="U7" s="138" t="str">
        <f aca="false">TEXT(F7,"mmmm")</f>
        <v>March</v>
      </c>
      <c r="V7" s="139" t="n">
        <f aca="false">EOMONTH(F7,Assumptions!$C$90*(INT((Assumptions!$C$10-T7)/Assumptions!$C$90)+1))</f>
        <v>46477</v>
      </c>
      <c r="W7" s="76" t="n">
        <f aca="false">IF(G7&gt;=-11,I7*Assumptions!$C$92,0)</f>
        <v>0</v>
      </c>
      <c r="X7" s="76" t="n">
        <f aca="false">W7*IF(H7="Pipeline",S7,1)</f>
        <v>0</v>
      </c>
      <c r="Y7" s="67" t="n">
        <f aca="false">INDEX(Contracts!$E$9:$AB$9,Assumptions!$C$10)</f>
        <v>425</v>
      </c>
      <c r="Z7" s="67" t="n">
        <f aca="false">INDEX(Contracts!$E$47:$AB$47,Assumptions!$C$10)</f>
        <v>96</v>
      </c>
      <c r="AA7" s="67" t="n">
        <f aca="false">INDEX(Contracts!$E$123:$AB$123,Assumptions!$C$10)</f>
        <v>23091.67</v>
      </c>
      <c r="AB7" s="67" t="n">
        <f aca="false">SUM(Contracts!$E$123:$P$123)+IF(SUM(Contracts!$E$161:$P$161)=0,0,Licences!$C$9*SUM(Contracts!$E$9:$P$9)/SUM(Contracts!$E$161:$P$161))</f>
        <v>364385.721770556</v>
      </c>
      <c r="AC7" s="67" t="n">
        <f aca="false">SUM(Contracts!$Q$123:$AB$123)+IF(SUM(Contracts!$Q$161:$AB$161)=0,0,Licences!$D$9*SUM(Contracts!$Q$9:$AB$9)/SUM(Contracts!$Q$161:$AB$161))</f>
        <v>350650.330546973</v>
      </c>
      <c r="AD7" s="64" t="n">
        <f aca="false">IF($AB$44=0,0,AB7/$AB$44)</f>
        <v>0.100201586832166</v>
      </c>
      <c r="AE7" s="67" t="n">
        <f aca="false">IF((SUM(Contracts!$E$161:$P$161)*(Assumptions!$C$97*Assumptions!$C$107+Assumptions!$C$109)+SUM(Contracts!$E$162:$P$162)*(Assumptions!$C$98*Assumptions!$C$107+Assumptions!$C$108))=0,0,People!$C$102*(SUM(Contracts!$E$9:$P$9)*(Assumptions!$C$97*Assumptions!$C$107+Assumptions!$C$109)+SUM(Contracts!$E$47:$P$47)*(Assumptions!$C$98*Assumptions!$C$107+Assumptions!$C$108))/(SUM(Contracts!$E$161:$P$161)*(Assumptions!$C$97*Assumptions!$C$107+Assumptions!$C$109)+SUM(Contracts!$E$162:$P$162)*(Assumptions!$C$98*Assumptions!$C$107+Assumptions!$C$108)))+IF((SUM(Contracts!$E$161:$P$161)*Assumptions!$C$147+SUM(Contracts!$E$162:$P$162))=0,0,Overheads!$C$23*(SUM(Contracts!$E$9:$P$9)*Assumptions!$C$147+SUM(Contracts!$E$47:$P$47))/(SUM(Contracts!$E$161:$P$161)*Assumptions!$C$147+SUM(Contracts!$E$162:$P$162)))+IF(SUM(Contracts!$E$161:$P$161)=0,0,(Licences!$C$10-Rebates!$C$18)*SUM(Contracts!$E$9:$P$9)/SUM(Contracts!$E$161:$P$161))+IF(SUM(Contracts!$E$162:$P$162)=0,0,(Overheads!$C$24+Overheads!$C$25)*SUM(Contracts!$E$47:$P$47)/SUM(Contracts!$E$162:$P$162))</f>
        <v>229550.958090924</v>
      </c>
      <c r="AF7" s="67" t="n">
        <f aca="false">AB7-AE7</f>
        <v>134834.763679632</v>
      </c>
      <c r="AG7" s="64" t="n">
        <f aca="false">IF(AB7=0,0,AF7/AB7)</f>
        <v>0.370033060089369</v>
      </c>
      <c r="AH7" s="140" t="s">
        <v>1620</v>
      </c>
    </row>
    <row r="8" customFormat="false" ht="15" hidden="false" customHeight="false" outlineLevel="0" collapsed="false">
      <c r="A8" s="132" t="s">
        <v>814</v>
      </c>
      <c r="B8" s="132" t="s">
        <v>1352</v>
      </c>
      <c r="C8" s="132" t="s">
        <v>1616</v>
      </c>
      <c r="D8" s="132" t="s">
        <v>1621</v>
      </c>
      <c r="E8" s="79" t="n">
        <f aca="false">IF(C8="PT",Assumptions!$C$18,0)</f>
        <v>0.23</v>
      </c>
      <c r="F8" s="133" t="n">
        <v>44681</v>
      </c>
      <c r="G8" s="84" t="n">
        <f aca="false">((YEAR(F8)-YEAR(Assumptions!$C$8))*12+MONTH(F8)-MONTH(Assumptions!$C$8)+1)</f>
        <v>-44</v>
      </c>
      <c r="H8" s="132" t="s">
        <v>1618</v>
      </c>
      <c r="I8" s="115" t="n">
        <v>260</v>
      </c>
      <c r="J8" s="115" t="n">
        <v>70</v>
      </c>
      <c r="K8" s="134" t="n">
        <v>44</v>
      </c>
      <c r="L8" s="134" t="n">
        <v>58</v>
      </c>
      <c r="M8" s="135" t="n">
        <v>0.004</v>
      </c>
      <c r="N8" s="136" t="n">
        <v>30</v>
      </c>
      <c r="O8" s="132" t="s">
        <v>1619</v>
      </c>
      <c r="P8" s="137" t="n">
        <v>0.94</v>
      </c>
      <c r="Q8" s="137" t="n">
        <v>0.85</v>
      </c>
      <c r="R8" s="137" t="n">
        <v>0.97</v>
      </c>
      <c r="S8" s="79" t="n">
        <f aca="false">CHOOSE(Assumptions!$C$11,P8,Q8,R8)</f>
        <v>0.94</v>
      </c>
      <c r="T8" s="84" t="n">
        <f aca="false">G8</f>
        <v>-44</v>
      </c>
      <c r="U8" s="138" t="str">
        <f aca="false">TEXT(F8,"mmmm")</f>
        <v>April</v>
      </c>
      <c r="V8" s="139" t="n">
        <f aca="false">EOMONTH(F8,Assumptions!$C$90*(INT((Assumptions!$C$10-T8)/Assumptions!$C$90)+1))</f>
        <v>46873</v>
      </c>
      <c r="W8" s="76" t="n">
        <f aca="false">IF(G8&gt;=-11,I8*Assumptions!$C$92,0)</f>
        <v>0</v>
      </c>
      <c r="X8" s="76" t="n">
        <f aca="false">W8*IF(H8="Pipeline",S8,1)</f>
        <v>0</v>
      </c>
      <c r="Y8" s="67" t="n">
        <f aca="false">INDEX(Contracts!$E$10:$AB$10,Assumptions!$C$10)</f>
        <v>269</v>
      </c>
      <c r="Z8" s="67" t="n">
        <f aca="false">INDEX(Contracts!$E$48:$AB$48,Assumptions!$C$10)</f>
        <v>70</v>
      </c>
      <c r="AA8" s="67" t="n">
        <f aca="false">INDEX(Contracts!$E$124:$AB$124,Assumptions!$C$10)</f>
        <v>16309.3</v>
      </c>
      <c r="AB8" s="67" t="n">
        <f aca="false">SUM(Contracts!$E$124:$P$124)+IF(SUM(Contracts!$E$161:$P$161)=0,0,Licences!$C$9*SUM(Contracts!$E$10:$P$10)/SUM(Contracts!$E$161:$P$161))</f>
        <v>249144.150931797</v>
      </c>
      <c r="AC8" s="67" t="n">
        <f aca="false">SUM(Contracts!$Q$124:$AB$124)+IF(SUM(Contracts!$Q$161:$AB$161)=0,0,Licences!$D$9*SUM(Contracts!$Q$10:$AB$10)/SUM(Contracts!$Q$161:$AB$161))</f>
        <v>268038.066143293</v>
      </c>
      <c r="AD8" s="64" t="n">
        <f aca="false">IF($AB$44=0,0,AB8/$AB$44)</f>
        <v>0.0685115738125391</v>
      </c>
      <c r="AE8" s="67" t="n">
        <f aca="false">IF((SUM(Contracts!$E$161:$P$161)*(Assumptions!$C$97*Assumptions!$C$107+Assumptions!$C$109)+SUM(Contracts!$E$162:$P$162)*(Assumptions!$C$98*Assumptions!$C$107+Assumptions!$C$108))=0,0,People!$C$102*(SUM(Contracts!$E$10:$P$10)*(Assumptions!$C$97*Assumptions!$C$107+Assumptions!$C$109)+SUM(Contracts!$E$48:$P$48)*(Assumptions!$C$98*Assumptions!$C$107+Assumptions!$C$108))/(SUM(Contracts!$E$161:$P$161)*(Assumptions!$C$97*Assumptions!$C$107+Assumptions!$C$109)+SUM(Contracts!$E$162:$P$162)*(Assumptions!$C$98*Assumptions!$C$107+Assumptions!$C$108)))+IF((SUM(Contracts!$E$161:$P$161)*Assumptions!$C$147+SUM(Contracts!$E$162:$P$162))=0,0,Overheads!$C$23*(SUM(Contracts!$E$10:$P$10)*Assumptions!$C$147+SUM(Contracts!$E$48:$P$48))/(SUM(Contracts!$E$161:$P$161)*Assumptions!$C$147+SUM(Contracts!$E$162:$P$162)))+IF(SUM(Contracts!$E$161:$P$161)=0,0,(Licences!$C$10-Rebates!$C$18)*SUM(Contracts!$E$10:$P$10)/SUM(Contracts!$E$161:$P$161))+IF(SUM(Contracts!$E$162:$P$162)=0,0,(Overheads!$C$24+Overheads!$C$25)*SUM(Contracts!$E$48:$P$48)/SUM(Contracts!$E$162:$P$162))</f>
        <v>150152.475751105</v>
      </c>
      <c r="AF8" s="67" t="n">
        <f aca="false">AB8-AE8</f>
        <v>98991.6751806915</v>
      </c>
      <c r="AG8" s="64" t="n">
        <f aca="false">IF(AB8=0,0,AF8/AB8)</f>
        <v>0.397326908179316</v>
      </c>
      <c r="AH8" s="140"/>
    </row>
    <row r="9" customFormat="false" ht="15" hidden="false" customHeight="false" outlineLevel="0" collapsed="false">
      <c r="A9" s="132" t="s">
        <v>815</v>
      </c>
      <c r="B9" s="132" t="s">
        <v>1375</v>
      </c>
      <c r="C9" s="132" t="s">
        <v>1616</v>
      </c>
      <c r="D9" s="132" t="s">
        <v>1622</v>
      </c>
      <c r="E9" s="79" t="n">
        <f aca="false">IF(C9="PT",Assumptions!$C$18,0)</f>
        <v>0.23</v>
      </c>
      <c r="F9" s="133" t="n">
        <v>45230</v>
      </c>
      <c r="G9" s="84" t="n">
        <f aca="false">((YEAR(F9)-YEAR(Assumptions!$C$8))*12+MONTH(F9)-MONTH(Assumptions!$C$8)+1)</f>
        <v>-26</v>
      </c>
      <c r="H9" s="132" t="s">
        <v>1618</v>
      </c>
      <c r="I9" s="115" t="n">
        <v>150</v>
      </c>
      <c r="J9" s="115" t="n">
        <v>38</v>
      </c>
      <c r="K9" s="134" t="n">
        <v>40</v>
      </c>
      <c r="L9" s="134" t="n">
        <v>55</v>
      </c>
      <c r="M9" s="135" t="n">
        <v>0.001</v>
      </c>
      <c r="N9" s="136" t="n">
        <v>45</v>
      </c>
      <c r="O9" s="132" t="s">
        <v>1623</v>
      </c>
      <c r="P9" s="137" t="n">
        <v>0.92</v>
      </c>
      <c r="Q9" s="137" t="n">
        <v>0.8</v>
      </c>
      <c r="R9" s="137" t="n">
        <v>0.95</v>
      </c>
      <c r="S9" s="79" t="n">
        <f aca="false">CHOOSE(Assumptions!$C$11,P9,Q9,R9)</f>
        <v>0.92</v>
      </c>
      <c r="T9" s="84" t="n">
        <f aca="false">G9</f>
        <v>-26</v>
      </c>
      <c r="U9" s="138" t="str">
        <f aca="false">TEXT(F9,"mmmm")</f>
        <v>October</v>
      </c>
      <c r="V9" s="139" t="n">
        <f aca="false">EOMONTH(F9,Assumptions!$C$90*(INT((Assumptions!$C$10-T9)/Assumptions!$C$90)+1))</f>
        <v>46326</v>
      </c>
      <c r="W9" s="76" t="n">
        <f aca="false">IF(G9&gt;=-11,I9*Assumptions!$C$92,0)</f>
        <v>0</v>
      </c>
      <c r="X9" s="76" t="n">
        <f aca="false">W9*IF(H9="Pipeline",S9,1)</f>
        <v>0</v>
      </c>
      <c r="Y9" s="67" t="n">
        <f aca="false">INDEX(Contracts!$E$11:$AB$11,Assumptions!$C$10)</f>
        <v>153</v>
      </c>
      <c r="Z9" s="67" t="n">
        <f aca="false">INDEX(Contracts!$E$49:$AB$49,Assumptions!$C$10)</f>
        <v>38</v>
      </c>
      <c r="AA9" s="67" t="n">
        <f aca="false">INDEX(Contracts!$E$125:$AB$125,Assumptions!$C$10)</f>
        <v>8210</v>
      </c>
      <c r="AB9" s="67" t="n">
        <f aca="false">SUM(Contracts!$E$125:$P$125)+IF(SUM(Contracts!$E$161:$P$161)=0,0,Licences!$C$9*SUM(Contracts!$E$11:$P$11)/SUM(Contracts!$E$161:$P$161))</f>
        <v>128282.191370289</v>
      </c>
      <c r="AC9" s="67" t="n">
        <f aca="false">SUM(Contracts!$Q$125:$AB$125)+IF(SUM(Contracts!$Q$161:$AB$161)=0,0,Licences!$D$9*SUM(Contracts!$Q$11:$AB$11)/SUM(Contracts!$Q$161:$AB$161))</f>
        <v>125562.594052349</v>
      </c>
      <c r="AD9" s="64" t="n">
        <f aca="false">IF($AB$44=0,0,AB9/$AB$44)</f>
        <v>0.0352760230975912</v>
      </c>
      <c r="AE9" s="67" t="n">
        <f aca="false">IF((SUM(Contracts!$E$161:$P$161)*(Assumptions!$C$97*Assumptions!$C$107+Assumptions!$C$109)+SUM(Contracts!$E$162:$P$162)*(Assumptions!$C$98*Assumptions!$C$107+Assumptions!$C$108))=0,0,People!$C$102*(SUM(Contracts!$E$11:$P$11)*(Assumptions!$C$97*Assumptions!$C$107+Assumptions!$C$109)+SUM(Contracts!$E$49:$P$49)*(Assumptions!$C$98*Assumptions!$C$107+Assumptions!$C$108))/(SUM(Contracts!$E$161:$P$161)*(Assumptions!$C$97*Assumptions!$C$107+Assumptions!$C$109)+SUM(Contracts!$E$162:$P$162)*(Assumptions!$C$98*Assumptions!$C$107+Assumptions!$C$108)))+IF((SUM(Contracts!$E$161:$P$161)*Assumptions!$C$147+SUM(Contracts!$E$162:$P$162))=0,0,Overheads!$C$23*(SUM(Contracts!$E$11:$P$11)*Assumptions!$C$147+SUM(Contracts!$E$49:$P$49))/(SUM(Contracts!$E$161:$P$161)*Assumptions!$C$147+SUM(Contracts!$E$162:$P$162)))+IF(SUM(Contracts!$E$161:$P$161)=0,0,(Licences!$C$10-Rebates!$C$18)*SUM(Contracts!$E$11:$P$11)/SUM(Contracts!$E$161:$P$161))+IF(SUM(Contracts!$E$162:$P$162)=0,0,(Overheads!$C$24+Overheads!$C$25)*SUM(Contracts!$E$49:$P$49)/SUM(Contracts!$E$162:$P$162))</f>
        <v>82924.4259752385</v>
      </c>
      <c r="AF9" s="67" t="n">
        <f aca="false">AB9-AE9</f>
        <v>45357.7653950505</v>
      </c>
      <c r="AG9" s="64" t="n">
        <f aca="false">IF(AB9=0,0,AF9/AB9)</f>
        <v>0.353578036908681</v>
      </c>
      <c r="AH9" s="140"/>
    </row>
    <row r="10" customFormat="false" ht="15" hidden="false" customHeight="false" outlineLevel="0" collapsed="false">
      <c r="A10" s="132" t="s">
        <v>816</v>
      </c>
      <c r="B10" s="132" t="s">
        <v>1368</v>
      </c>
      <c r="C10" s="132" t="s">
        <v>1616</v>
      </c>
      <c r="D10" s="132" t="s">
        <v>1624</v>
      </c>
      <c r="E10" s="79" t="n">
        <f aca="false">IF(C10="PT",Assumptions!$C$18,0)</f>
        <v>0.23</v>
      </c>
      <c r="F10" s="133" t="n">
        <v>43921</v>
      </c>
      <c r="G10" s="84" t="n">
        <f aca="false">((YEAR(F10)-YEAR(Assumptions!$C$8))*12+MONTH(F10)-MONTH(Assumptions!$C$8)+1)</f>
        <v>-69</v>
      </c>
      <c r="H10" s="132" t="s">
        <v>1618</v>
      </c>
      <c r="I10" s="115" t="n">
        <v>95</v>
      </c>
      <c r="J10" s="115" t="n">
        <v>22</v>
      </c>
      <c r="K10" s="134" t="n">
        <v>52</v>
      </c>
      <c r="L10" s="134" t="n">
        <v>72</v>
      </c>
      <c r="M10" s="135" t="n">
        <v>0.002</v>
      </c>
      <c r="N10" s="136" t="n">
        <v>30</v>
      </c>
      <c r="O10" s="132" t="s">
        <v>1619</v>
      </c>
      <c r="P10" s="137" t="n">
        <v>0.95</v>
      </c>
      <c r="Q10" s="137" t="n">
        <v>0.88</v>
      </c>
      <c r="R10" s="137" t="n">
        <v>0.97</v>
      </c>
      <c r="S10" s="79" t="n">
        <f aca="false">CHOOSE(Assumptions!$C$11,P10,Q10,R10)</f>
        <v>0.95</v>
      </c>
      <c r="T10" s="84" t="n">
        <f aca="false">G10</f>
        <v>-69</v>
      </c>
      <c r="U10" s="138" t="str">
        <f aca="false">TEXT(F10,"mmmm")</f>
        <v>March</v>
      </c>
      <c r="V10" s="139" t="n">
        <f aca="false">EOMONTH(F10,Assumptions!$C$90*(INT((Assumptions!$C$10-T10)/Assumptions!$C$90)+1))</f>
        <v>47208</v>
      </c>
      <c r="W10" s="76" t="n">
        <f aca="false">IF(G10&gt;=-11,I10*Assumptions!$C$92,0)</f>
        <v>0</v>
      </c>
      <c r="X10" s="76" t="n">
        <f aca="false">W10*IF(H10="Pipeline",S10,1)</f>
        <v>0</v>
      </c>
      <c r="Y10" s="67" t="n">
        <f aca="false">INDEX(Contracts!$E$12:$AB$12,Assumptions!$C$10)</f>
        <v>96</v>
      </c>
      <c r="Z10" s="67" t="n">
        <f aca="false">INDEX(Contracts!$E$50:$AB$50,Assumptions!$C$10)</f>
        <v>22</v>
      </c>
      <c r="AA10" s="67" t="n">
        <f aca="false">INDEX(Contracts!$E$126:$AB$126,Assumptions!$C$10)</f>
        <v>6746.98</v>
      </c>
      <c r="AB10" s="67" t="n">
        <f aca="false">SUM(Contracts!$E$126:$P$126)+IF(SUM(Contracts!$E$161:$P$161)=0,0,Licences!$C$9*SUM(Contracts!$E$12:$P$12)/SUM(Contracts!$E$161:$P$161))</f>
        <v>100573.326222133</v>
      </c>
      <c r="AC10" s="67" t="n">
        <f aca="false">SUM(Contracts!$Q$126:$AB$126)+IF(SUM(Contracts!$Q$161:$AB$161)=0,0,Licences!$D$9*SUM(Contracts!$Q$12:$AB$12)/SUM(Contracts!$Q$161:$AB$161))</f>
        <v>105654.265265873</v>
      </c>
      <c r="AD10" s="64" t="n">
        <f aca="false">IF($AB$44=0,0,AB10/$AB$44)</f>
        <v>0.0276564263590779</v>
      </c>
      <c r="AE10" s="67" t="n">
        <f aca="false">IF((SUM(Contracts!$E$161:$P$161)*(Assumptions!$C$97*Assumptions!$C$107+Assumptions!$C$109)+SUM(Contracts!$E$162:$P$162)*(Assumptions!$C$98*Assumptions!$C$107+Assumptions!$C$108))=0,0,People!$C$102*(SUM(Contracts!$E$12:$P$12)*(Assumptions!$C$97*Assumptions!$C$107+Assumptions!$C$109)+SUM(Contracts!$E$50:$P$50)*(Assumptions!$C$98*Assumptions!$C$107+Assumptions!$C$108))/(SUM(Contracts!$E$161:$P$161)*(Assumptions!$C$97*Assumptions!$C$107+Assumptions!$C$109)+SUM(Contracts!$E$162:$P$162)*(Assumptions!$C$98*Assumptions!$C$107+Assumptions!$C$108)))+IF((SUM(Contracts!$E$161:$P$161)*Assumptions!$C$147+SUM(Contracts!$E$162:$P$162))=0,0,Overheads!$C$23*(SUM(Contracts!$E$12:$P$12)*Assumptions!$C$147+SUM(Contracts!$E$50:$P$50))/(SUM(Contracts!$E$161:$P$161)*Assumptions!$C$147+SUM(Contracts!$E$162:$P$162)))+IF(SUM(Contracts!$E$161:$P$161)=0,0,(Licences!$C$10-Rebates!$C$18)*SUM(Contracts!$E$12:$P$12)/SUM(Contracts!$E$161:$P$161))+IF(SUM(Contracts!$E$162:$P$162)=0,0,(Overheads!$C$24+Overheads!$C$25)*SUM(Contracts!$E$50:$P$50)/SUM(Contracts!$E$162:$P$162))</f>
        <v>52045.8219339977</v>
      </c>
      <c r="AF10" s="67" t="n">
        <f aca="false">AB10-AE10</f>
        <v>48527.5042881351</v>
      </c>
      <c r="AG10" s="64" t="n">
        <f aca="false">IF(AB10=0,0,AF10/AB10)</f>
        <v>0.482508694014495</v>
      </c>
      <c r="AH10" s="140"/>
    </row>
    <row r="11" customFormat="false" ht="15" hidden="false" customHeight="false" outlineLevel="0" collapsed="false">
      <c r="A11" s="132" t="s">
        <v>817</v>
      </c>
      <c r="B11" s="132" t="s">
        <v>1353</v>
      </c>
      <c r="C11" s="132" t="s">
        <v>1616</v>
      </c>
      <c r="D11" s="132" t="s">
        <v>1625</v>
      </c>
      <c r="E11" s="79" t="n">
        <f aca="false">IF(C11="PT",Assumptions!$C$18,0)</f>
        <v>0.23</v>
      </c>
      <c r="F11" s="133" t="n">
        <v>44439</v>
      </c>
      <c r="G11" s="84" t="n">
        <f aca="false">((YEAR(F11)-YEAR(Assumptions!$C$8))*12+MONTH(F11)-MONTH(Assumptions!$C$8)+1)</f>
        <v>-52</v>
      </c>
      <c r="H11" s="132" t="s">
        <v>1618</v>
      </c>
      <c r="I11" s="115" t="n">
        <v>310</v>
      </c>
      <c r="J11" s="115" t="n">
        <v>85</v>
      </c>
      <c r="K11" s="134" t="n">
        <v>29</v>
      </c>
      <c r="L11" s="134" t="n">
        <v>48</v>
      </c>
      <c r="M11" s="135" t="n">
        <v>0.002</v>
      </c>
      <c r="N11" s="136" t="n">
        <v>30</v>
      </c>
      <c r="O11" s="132" t="s">
        <v>1623</v>
      </c>
      <c r="P11" s="137" t="n">
        <v>0.93</v>
      </c>
      <c r="Q11" s="137" t="n">
        <v>0.85</v>
      </c>
      <c r="R11" s="137" t="n">
        <v>0.96</v>
      </c>
      <c r="S11" s="79" t="n">
        <f aca="false">CHOOSE(Assumptions!$C$11,P11,Q11,R11)</f>
        <v>0.93</v>
      </c>
      <c r="T11" s="84" t="n">
        <f aca="false">G11</f>
        <v>-52</v>
      </c>
      <c r="U11" s="138" t="str">
        <f aca="false">TEXT(F11,"mmmm")</f>
        <v>August</v>
      </c>
      <c r="V11" s="139" t="n">
        <f aca="false">EOMONTH(F11,Assumptions!$C$90*(INT((Assumptions!$C$10-T11)/Assumptions!$C$90)+1))</f>
        <v>46630</v>
      </c>
      <c r="W11" s="76" t="n">
        <f aca="false">IF(G11&gt;=-11,I11*Assumptions!$C$92,0)</f>
        <v>0</v>
      </c>
      <c r="X11" s="76" t="n">
        <f aca="false">W11*IF(H11="Pipeline",S11,1)</f>
        <v>0</v>
      </c>
      <c r="Y11" s="67" t="n">
        <f aca="false">INDEX(Contracts!$E$13:$AB$13,Assumptions!$C$10)</f>
        <v>314</v>
      </c>
      <c r="Z11" s="67" t="n">
        <f aca="false">INDEX(Contracts!$E$51:$AB$51,Assumptions!$C$10)</f>
        <v>87</v>
      </c>
      <c r="AA11" s="67" t="n">
        <f aca="false">INDEX(Contracts!$E$127:$AB$127,Assumptions!$C$10)</f>
        <v>13627.33</v>
      </c>
      <c r="AB11" s="67" t="n">
        <f aca="false">SUM(Contracts!$E$127:$P$127)+IF(SUM(Contracts!$E$161:$P$161)=0,0,Licences!$C$9*SUM(Contracts!$E$13:$P$13)/SUM(Contracts!$E$161:$P$161))</f>
        <v>225949.205378864</v>
      </c>
      <c r="AC11" s="67" t="n">
        <f aca="false">SUM(Contracts!$Q$127:$AB$127)+IF(SUM(Contracts!$Q$161:$AB$161)=0,0,Licences!$D$9*SUM(Contracts!$Q$13:$AB$13)/SUM(Contracts!$Q$161:$AB$161))</f>
        <v>230547.313941422</v>
      </c>
      <c r="AD11" s="64" t="n">
        <f aca="false">IF($AB$44=0,0,AB11/$AB$44)</f>
        <v>0.0621332493831506</v>
      </c>
      <c r="AE11" s="67" t="n">
        <f aca="false">IF((SUM(Contracts!$E$161:$P$161)*(Assumptions!$C$97*Assumptions!$C$107+Assumptions!$C$109)+SUM(Contracts!$E$162:$P$162)*(Assumptions!$C$98*Assumptions!$C$107+Assumptions!$C$108))=0,0,People!$C$102*(SUM(Contracts!$E$13:$P$13)*(Assumptions!$C$97*Assumptions!$C$107+Assumptions!$C$109)+SUM(Contracts!$E$51:$P$51)*(Assumptions!$C$98*Assumptions!$C$107+Assumptions!$C$108))/(SUM(Contracts!$E$161:$P$161)*(Assumptions!$C$97*Assumptions!$C$107+Assumptions!$C$109)+SUM(Contracts!$E$162:$P$162)*(Assumptions!$C$98*Assumptions!$C$107+Assumptions!$C$108)))+IF((SUM(Contracts!$E$161:$P$161)*Assumptions!$C$147+SUM(Contracts!$E$162:$P$162))=0,0,Overheads!$C$23*(SUM(Contracts!$E$13:$P$13)*Assumptions!$C$147+SUM(Contracts!$E$51:$P$51))/(SUM(Contracts!$E$161:$P$161)*Assumptions!$C$147+SUM(Contracts!$E$162:$P$162)))+IF(SUM(Contracts!$E$161:$P$161)=0,0,(Licences!$C$10-Rebates!$C$18)*SUM(Contracts!$E$13:$P$13)/SUM(Contracts!$E$161:$P$161))+IF(SUM(Contracts!$E$162:$P$162)=0,0,(Overheads!$C$24+Overheads!$C$25)*SUM(Contracts!$E$51:$P$51)/SUM(Contracts!$E$162:$P$162))</f>
        <v>178662.292292869</v>
      </c>
      <c r="AF11" s="67" t="n">
        <f aca="false">AB11-AE11</f>
        <v>47286.9130859954</v>
      </c>
      <c r="AG11" s="64" t="n">
        <f aca="false">IF(AB11=0,0,AF11/AB11)</f>
        <v>0.209281165679278</v>
      </c>
      <c r="AH11" s="140"/>
    </row>
    <row r="12" customFormat="false" ht="15" hidden="false" customHeight="false" outlineLevel="0" collapsed="false">
      <c r="A12" s="132" t="s">
        <v>818</v>
      </c>
      <c r="B12" s="132" t="s">
        <v>1374</v>
      </c>
      <c r="C12" s="132" t="s">
        <v>1616</v>
      </c>
      <c r="D12" s="132" t="s">
        <v>1626</v>
      </c>
      <c r="E12" s="79" t="n">
        <f aca="false">IF(C12="PT",Assumptions!$C$18,0)</f>
        <v>0.23</v>
      </c>
      <c r="F12" s="133" t="n">
        <v>44957</v>
      </c>
      <c r="G12" s="84" t="n">
        <f aca="false">((YEAR(F12)-YEAR(Assumptions!$C$8))*12+MONTH(F12)-MONTH(Assumptions!$C$8)+1)</f>
        <v>-35</v>
      </c>
      <c r="H12" s="132" t="s">
        <v>1618</v>
      </c>
      <c r="I12" s="115" t="n">
        <v>120</v>
      </c>
      <c r="J12" s="115" t="n">
        <v>40</v>
      </c>
      <c r="K12" s="134" t="n">
        <v>41</v>
      </c>
      <c r="L12" s="134" t="n">
        <v>60</v>
      </c>
      <c r="M12" s="135" t="n">
        <v>0.001</v>
      </c>
      <c r="N12" s="136" t="n">
        <v>45</v>
      </c>
      <c r="O12" s="132" t="s">
        <v>1623</v>
      </c>
      <c r="P12" s="137" t="n">
        <v>0.93</v>
      </c>
      <c r="Q12" s="137" t="n">
        <v>0.85</v>
      </c>
      <c r="R12" s="137" t="n">
        <v>0.96</v>
      </c>
      <c r="S12" s="79" t="n">
        <f aca="false">CHOOSE(Assumptions!$C$11,P12,Q12,R12)</f>
        <v>0.93</v>
      </c>
      <c r="T12" s="84" t="n">
        <f aca="false">G12</f>
        <v>-35</v>
      </c>
      <c r="U12" s="138" t="str">
        <f aca="false">TEXT(F12,"mmmm")</f>
        <v>January</v>
      </c>
      <c r="V12" s="139" t="n">
        <f aca="false">EOMONTH(F12,Assumptions!$C$90*(INT((Assumptions!$C$10-T12)/Assumptions!$C$90)+1))</f>
        <v>47149</v>
      </c>
      <c r="W12" s="76" t="n">
        <f aca="false">IF(G12&gt;=-11,I12*Assumptions!$C$92,0)</f>
        <v>0</v>
      </c>
      <c r="X12" s="76" t="n">
        <f aca="false">W12*IF(H12="Pipeline",S12,1)</f>
        <v>0</v>
      </c>
      <c r="Y12" s="67" t="n">
        <f aca="false">INDEX(Contracts!$E$14:$AB$14,Assumptions!$C$10)</f>
        <v>122</v>
      </c>
      <c r="Z12" s="67" t="n">
        <f aca="false">INDEX(Contracts!$E$52:$AB$52,Assumptions!$C$10)</f>
        <v>40</v>
      </c>
      <c r="AA12" s="67" t="n">
        <f aca="false">INDEX(Contracts!$E$128:$AB$128,Assumptions!$C$10)</f>
        <v>7594.45</v>
      </c>
      <c r="AB12" s="67" t="n">
        <f aca="false">SUM(Contracts!$E$128:$P$128)+IF(SUM(Contracts!$E$161:$P$161)=0,0,Licences!$C$9*SUM(Contracts!$E$14:$P$14)/SUM(Contracts!$E$161:$P$161))</f>
        <v>116557.63510414</v>
      </c>
      <c r="AC12" s="67" t="n">
        <f aca="false">SUM(Contracts!$Q$128:$AB$128)+IF(SUM(Contracts!$Q$161:$AB$161)=0,0,Licences!$D$9*SUM(Contracts!$Q$14:$AB$14)/SUM(Contracts!$Q$161:$AB$161))</f>
        <v>121250.075497686</v>
      </c>
      <c r="AD12" s="64" t="n">
        <f aca="false">IF($AB$44=0,0,AB12/$AB$44)</f>
        <v>0.032051914488004</v>
      </c>
      <c r="AE12" s="67" t="n">
        <f aca="false">IF((SUM(Contracts!$E$161:$P$161)*(Assumptions!$C$97*Assumptions!$C$107+Assumptions!$C$109)+SUM(Contracts!$E$162:$P$162)*(Assumptions!$C$98*Assumptions!$C$107+Assumptions!$C$108))=0,0,People!$C$102*(SUM(Contracts!$E$14:$P$14)*(Assumptions!$C$97*Assumptions!$C$107+Assumptions!$C$109)+SUM(Contracts!$E$52:$P$52)*(Assumptions!$C$98*Assumptions!$C$107+Assumptions!$C$108))/(SUM(Contracts!$E$161:$P$161)*(Assumptions!$C$97*Assumptions!$C$107+Assumptions!$C$109)+SUM(Contracts!$E$162:$P$162)*(Assumptions!$C$98*Assumptions!$C$107+Assumptions!$C$108)))+IF((SUM(Contracts!$E$161:$P$161)*Assumptions!$C$147+SUM(Contracts!$E$162:$P$162))=0,0,Overheads!$C$23*(SUM(Contracts!$E$14:$P$14)*Assumptions!$C$147+SUM(Contracts!$E$52:$P$52))/(SUM(Contracts!$E$161:$P$161)*Assumptions!$C$147+SUM(Contracts!$E$162:$P$162)))+IF(SUM(Contracts!$E$161:$P$161)=0,0,(Licences!$C$10-Rebates!$C$18)*SUM(Contracts!$E$14:$P$14)/SUM(Contracts!$E$161:$P$161))+IF(SUM(Contracts!$E$162:$P$162)=0,0,(Overheads!$C$24+Overheads!$C$25)*SUM(Contracts!$E$52:$P$52)/SUM(Contracts!$E$162:$P$162))</f>
        <v>73372.515967481</v>
      </c>
      <c r="AF12" s="67" t="n">
        <f aca="false">AB12-AE12</f>
        <v>43185.1191366594</v>
      </c>
      <c r="AG12" s="64" t="n">
        <f aca="false">IF(AB12=0,0,AF12/AB12)</f>
        <v>0.370504421251125</v>
      </c>
      <c r="AH12" s="140"/>
    </row>
    <row r="13" customFormat="false" ht="15" hidden="false" customHeight="false" outlineLevel="0" collapsed="false">
      <c r="A13" s="132" t="s">
        <v>819</v>
      </c>
      <c r="B13" s="132" t="s">
        <v>1365</v>
      </c>
      <c r="C13" s="132" t="s">
        <v>1616</v>
      </c>
      <c r="D13" s="132" t="s">
        <v>1627</v>
      </c>
      <c r="E13" s="79" t="n">
        <f aca="false">IF(C13="PT",Assumptions!$C$18,0)</f>
        <v>0.23</v>
      </c>
      <c r="F13" s="133" t="n">
        <v>45351</v>
      </c>
      <c r="G13" s="84" t="n">
        <f aca="false">((YEAR(F13)-YEAR(Assumptions!$C$8))*12+MONTH(F13)-MONTH(Assumptions!$C$8)+1)</f>
        <v>-22</v>
      </c>
      <c r="H13" s="132" t="s">
        <v>1618</v>
      </c>
      <c r="I13" s="115" t="n">
        <v>85</v>
      </c>
      <c r="J13" s="115" t="n">
        <v>30</v>
      </c>
      <c r="K13" s="134" t="n">
        <v>45</v>
      </c>
      <c r="L13" s="134" t="n">
        <v>62</v>
      </c>
      <c r="M13" s="135" t="n">
        <v>0.003</v>
      </c>
      <c r="N13" s="136" t="n">
        <v>30</v>
      </c>
      <c r="O13" s="132" t="s">
        <v>1623</v>
      </c>
      <c r="P13" s="137" t="n">
        <v>0.93</v>
      </c>
      <c r="Q13" s="137" t="n">
        <v>0.85</v>
      </c>
      <c r="R13" s="137" t="n">
        <v>0.96</v>
      </c>
      <c r="S13" s="79" t="n">
        <f aca="false">CHOOSE(Assumptions!$C$11,P13,Q13,R13)</f>
        <v>0.93</v>
      </c>
      <c r="T13" s="84" t="n">
        <f aca="false">G13</f>
        <v>-22</v>
      </c>
      <c r="U13" s="138" t="str">
        <f aca="false">TEXT(F13,"mmmm")</f>
        <v>February</v>
      </c>
      <c r="V13" s="139" t="n">
        <f aca="false">EOMONTH(F13,Assumptions!$C$90*(INT((Assumptions!$C$10-T13)/Assumptions!$C$90)+1))</f>
        <v>46446</v>
      </c>
      <c r="W13" s="76" t="n">
        <f aca="false">IF(G13&gt;=-11,I13*Assumptions!$C$92,0)</f>
        <v>0</v>
      </c>
      <c r="X13" s="76" t="n">
        <f aca="false">W13*IF(H13="Pipeline",S13,1)</f>
        <v>0</v>
      </c>
      <c r="Y13" s="67" t="n">
        <f aca="false">INDEX(Contracts!$E$15:$AB$15,Assumptions!$C$10)</f>
        <v>88</v>
      </c>
      <c r="Z13" s="67" t="n">
        <f aca="false">INDEX(Contracts!$E$53:$AB$53,Assumptions!$C$10)</f>
        <v>31</v>
      </c>
      <c r="AA13" s="67" t="n">
        <f aca="false">INDEX(Contracts!$E$129:$AB$129,Assumptions!$C$10)</f>
        <v>6034.93</v>
      </c>
      <c r="AB13" s="67" t="n">
        <f aca="false">SUM(Contracts!$E$129:$P$129)+IF(SUM(Contracts!$E$161:$P$161)=0,0,Licences!$C$9*SUM(Contracts!$E$15:$P$15)/SUM(Contracts!$E$161:$P$161))</f>
        <v>90111.2027323266</v>
      </c>
      <c r="AC13" s="67" t="n">
        <f aca="false">SUM(Contracts!$Q$129:$AB$129)+IF(SUM(Contracts!$Q$161:$AB$161)=0,0,Licences!$D$9*SUM(Contracts!$Q$15:$AB$15)/SUM(Contracts!$Q$161:$AB$161))</f>
        <v>89784.8530833544</v>
      </c>
      <c r="AD13" s="64" t="n">
        <f aca="false">IF($AB$44=0,0,AB13/$AB$44)</f>
        <v>0.0247794712187424</v>
      </c>
      <c r="AE13" s="67" t="n">
        <f aca="false">IF((SUM(Contracts!$E$161:$P$161)*(Assumptions!$C$97*Assumptions!$C$107+Assumptions!$C$109)+SUM(Contracts!$E$162:$P$162)*(Assumptions!$C$98*Assumptions!$C$107+Assumptions!$C$108))=0,0,People!$C$102*(SUM(Contracts!$E$15:$P$15)*(Assumptions!$C$97*Assumptions!$C$107+Assumptions!$C$109)+SUM(Contracts!$E$53:$P$53)*(Assumptions!$C$98*Assumptions!$C$107+Assumptions!$C$108))/(SUM(Contracts!$E$161:$P$161)*(Assumptions!$C$97*Assumptions!$C$107+Assumptions!$C$109)+SUM(Contracts!$E$162:$P$162)*(Assumptions!$C$98*Assumptions!$C$107+Assumptions!$C$108)))+IF((SUM(Contracts!$E$161:$P$161)*Assumptions!$C$147+SUM(Contracts!$E$162:$P$162))=0,0,Overheads!$C$23*(SUM(Contracts!$E$15:$P$15)*Assumptions!$C$147+SUM(Contracts!$E$53:$P$53))/(SUM(Contracts!$E$161:$P$161)*Assumptions!$C$147+SUM(Contracts!$E$162:$P$162)))+IF(SUM(Contracts!$E$161:$P$161)=0,0,(Licences!$C$10-Rebates!$C$18)*SUM(Contracts!$E$15:$P$15)/SUM(Contracts!$E$161:$P$161))+IF(SUM(Contracts!$E$162:$P$162)=0,0,(Overheads!$C$24+Overheads!$C$25)*SUM(Contracts!$E$53:$P$53)/SUM(Contracts!$E$162:$P$162))</f>
        <v>53888.5647221239</v>
      </c>
      <c r="AF13" s="67" t="n">
        <f aca="false">AB13-AE13</f>
        <v>36222.6380102027</v>
      </c>
      <c r="AG13" s="64" t="n">
        <f aca="false">IF(AB13=0,0,AF13/AB13)</f>
        <v>0.401977078452734</v>
      </c>
      <c r="AH13" s="140"/>
    </row>
    <row r="14" customFormat="false" ht="15" hidden="false" customHeight="false" outlineLevel="0" collapsed="false">
      <c r="A14" s="132" t="s">
        <v>820</v>
      </c>
      <c r="B14" s="132" t="s">
        <v>1342</v>
      </c>
      <c r="C14" s="132" t="s">
        <v>1616</v>
      </c>
      <c r="D14" s="132" t="s">
        <v>1628</v>
      </c>
      <c r="E14" s="79" t="n">
        <f aca="false">IF(C14="PT",Assumptions!$C$18,0)</f>
        <v>0.23</v>
      </c>
      <c r="F14" s="133" t="n">
        <v>44592</v>
      </c>
      <c r="G14" s="84" t="n">
        <f aca="false">((YEAR(F14)-YEAR(Assumptions!$C$8))*12+MONTH(F14)-MONTH(Assumptions!$C$8)+1)</f>
        <v>-47</v>
      </c>
      <c r="H14" s="132" t="s">
        <v>1618</v>
      </c>
      <c r="I14" s="115" t="n">
        <v>180</v>
      </c>
      <c r="J14" s="115" t="n">
        <v>90</v>
      </c>
      <c r="K14" s="134" t="n">
        <v>39</v>
      </c>
      <c r="L14" s="134" t="n">
        <v>45</v>
      </c>
      <c r="M14" s="135" t="n">
        <v>0.003</v>
      </c>
      <c r="N14" s="136" t="n">
        <v>30</v>
      </c>
      <c r="O14" s="132" t="s">
        <v>1623</v>
      </c>
      <c r="P14" s="137" t="n">
        <v>0.94</v>
      </c>
      <c r="Q14" s="137" t="n">
        <v>0.86</v>
      </c>
      <c r="R14" s="137" t="n">
        <v>0.97</v>
      </c>
      <c r="S14" s="79" t="n">
        <f aca="false">CHOOSE(Assumptions!$C$11,P14,Q14,R14)</f>
        <v>0.94</v>
      </c>
      <c r="T14" s="84" t="n">
        <f aca="false">G14</f>
        <v>-47</v>
      </c>
      <c r="U14" s="138" t="str">
        <f aca="false">TEXT(F14,"mmmm")</f>
        <v>January</v>
      </c>
      <c r="V14" s="139" t="n">
        <f aca="false">EOMONTH(F14,Assumptions!$C$90*(INT((Assumptions!$C$10-T14)/Assumptions!$C$90)+1))</f>
        <v>46783</v>
      </c>
      <c r="W14" s="76" t="n">
        <f aca="false">IF(G14&gt;=-11,I14*Assumptions!$C$92,0)</f>
        <v>0</v>
      </c>
      <c r="X14" s="76" t="n">
        <f aca="false">W14*IF(H14="Pipeline",S14,1)</f>
        <v>0</v>
      </c>
      <c r="Y14" s="67" t="n">
        <f aca="false">INDEX(Contracts!$E$16:$AB$16,Assumptions!$C$10)</f>
        <v>185</v>
      </c>
      <c r="Z14" s="67" t="n">
        <f aca="false">INDEX(Contracts!$E$54:$AB$54,Assumptions!$C$10)</f>
        <v>91</v>
      </c>
      <c r="AA14" s="67" t="n">
        <f aca="false">INDEX(Contracts!$E$130:$AB$130,Assumptions!$C$10)</f>
        <v>11604.06</v>
      </c>
      <c r="AB14" s="67" t="n">
        <f aca="false">SUM(Contracts!$E$130:$P$130)+IF(SUM(Contracts!$E$161:$P$161)=0,0,Licences!$C$9*SUM(Contracts!$E$16:$P$16)/SUM(Contracts!$E$161:$P$161))</f>
        <v>177372.5250311</v>
      </c>
      <c r="AC14" s="67" t="n">
        <f aca="false">SUM(Contracts!$Q$130:$AB$130)+IF(SUM(Contracts!$Q$161:$AB$161)=0,0,Licences!$D$9*SUM(Contracts!$Q$16:$AB$16)/SUM(Contracts!$Q$161:$AB$161))</f>
        <v>188298.561589276</v>
      </c>
      <c r="AD14" s="64" t="n">
        <f aca="false">IF($AB$44=0,0,AB14/$AB$44)</f>
        <v>0.048775260408627</v>
      </c>
      <c r="AE14" s="67" t="n">
        <f aca="false">IF((SUM(Contracts!$E$161:$P$161)*(Assumptions!$C$97*Assumptions!$C$107+Assumptions!$C$109)+SUM(Contracts!$E$162:$P$162)*(Assumptions!$C$98*Assumptions!$C$107+Assumptions!$C$108))=0,0,People!$C$102*(SUM(Contracts!$E$16:$P$16)*(Assumptions!$C$97*Assumptions!$C$107+Assumptions!$C$109)+SUM(Contracts!$E$54:$P$54)*(Assumptions!$C$98*Assumptions!$C$107+Assumptions!$C$108))/(SUM(Contracts!$E$161:$P$161)*(Assumptions!$C$97*Assumptions!$C$107+Assumptions!$C$109)+SUM(Contracts!$E$162:$P$162)*(Assumptions!$C$98*Assumptions!$C$107+Assumptions!$C$108)))+IF((SUM(Contracts!$E$161:$P$161)*Assumptions!$C$147+SUM(Contracts!$E$162:$P$162))=0,0,Overheads!$C$23*(SUM(Contracts!$E$16:$P$16)*Assumptions!$C$147+SUM(Contracts!$E$54:$P$54))/(SUM(Contracts!$E$161:$P$161)*Assumptions!$C$147+SUM(Contracts!$E$162:$P$162)))+IF(SUM(Contracts!$E$161:$P$161)=0,0,(Licences!$C$10-Rebates!$C$18)*SUM(Contracts!$E$16:$P$16)/SUM(Contracts!$E$161:$P$161))+IF(SUM(Contracts!$E$162:$P$162)=0,0,(Overheads!$C$24+Overheads!$C$25)*SUM(Contracts!$E$54:$P$54)/SUM(Contracts!$E$162:$P$162))</f>
        <v>129145.566423578</v>
      </c>
      <c r="AF14" s="67" t="n">
        <f aca="false">AB14-AE14</f>
        <v>48226.9586075223</v>
      </c>
      <c r="AG14" s="64" t="n">
        <f aca="false">IF(AB14=0,0,AF14/AB14)</f>
        <v>0.27189644280627</v>
      </c>
      <c r="AH14" s="140"/>
    </row>
    <row r="15" customFormat="false" ht="15" hidden="false" customHeight="false" outlineLevel="0" collapsed="false">
      <c r="A15" s="132" t="s">
        <v>821</v>
      </c>
      <c r="B15" s="132" t="s">
        <v>1343</v>
      </c>
      <c r="C15" s="132" t="s">
        <v>1616</v>
      </c>
      <c r="D15" s="132" t="s">
        <v>1629</v>
      </c>
      <c r="E15" s="79" t="n">
        <f aca="false">IF(C15="PT",Assumptions!$C$18,0)</f>
        <v>0.23</v>
      </c>
      <c r="F15" s="133" t="n">
        <v>45138</v>
      </c>
      <c r="G15" s="84" t="n">
        <f aca="false">((YEAR(F15)-YEAR(Assumptions!$C$8))*12+MONTH(F15)-MONTH(Assumptions!$C$8)+1)</f>
        <v>-29</v>
      </c>
      <c r="H15" s="132" t="s">
        <v>1618</v>
      </c>
      <c r="I15" s="115" t="n">
        <v>140</v>
      </c>
      <c r="J15" s="115" t="n">
        <v>45</v>
      </c>
      <c r="K15" s="134" t="n">
        <v>40</v>
      </c>
      <c r="L15" s="134" t="n">
        <v>63</v>
      </c>
      <c r="M15" s="135" t="n">
        <v>0.002</v>
      </c>
      <c r="N15" s="136" t="n">
        <v>60</v>
      </c>
      <c r="O15" s="132" t="s">
        <v>1623</v>
      </c>
      <c r="P15" s="137" t="n">
        <v>0.93</v>
      </c>
      <c r="Q15" s="137" t="n">
        <v>0.85</v>
      </c>
      <c r="R15" s="137" t="n">
        <v>0.96</v>
      </c>
      <c r="S15" s="79" t="n">
        <f aca="false">CHOOSE(Assumptions!$C$11,P15,Q15,R15)</f>
        <v>0.93</v>
      </c>
      <c r="T15" s="84" t="n">
        <f aca="false">G15</f>
        <v>-29</v>
      </c>
      <c r="U15" s="138" t="str">
        <f aca="false">TEXT(F15,"mmmm")</f>
        <v>July</v>
      </c>
      <c r="V15" s="139" t="n">
        <f aca="false">EOMONTH(F15,Assumptions!$C$90*(INT((Assumptions!$C$10-T15)/Assumptions!$C$90)+1))</f>
        <v>47330</v>
      </c>
      <c r="W15" s="76" t="n">
        <f aca="false">IF(G15&gt;=-11,I15*Assumptions!$C$92,0)</f>
        <v>0</v>
      </c>
      <c r="X15" s="76" t="n">
        <f aca="false">W15*IF(H15="Pipeline",S15,1)</f>
        <v>0</v>
      </c>
      <c r="Y15" s="67" t="n">
        <f aca="false">INDEX(Contracts!$E$17:$AB$17,Assumptions!$C$10)</f>
        <v>143</v>
      </c>
      <c r="Z15" s="67" t="n">
        <f aca="false">INDEX(Contracts!$E$55:$AB$55,Assumptions!$C$10)</f>
        <v>45</v>
      </c>
      <c r="AA15" s="67" t="n">
        <f aca="false">INDEX(Contracts!$E$131:$AB$131,Assumptions!$C$10)</f>
        <v>8777.43</v>
      </c>
      <c r="AB15" s="67" t="n">
        <f aca="false">SUM(Contracts!$E$131:$P$131)+IF(SUM(Contracts!$E$161:$P$161)=0,0,Licences!$C$9*SUM(Contracts!$E$17:$P$17)/SUM(Contracts!$E$161:$P$161))</f>
        <v>133238.888982292</v>
      </c>
      <c r="AC15" s="67" t="n">
        <f aca="false">SUM(Contracts!$Q$131:$AB$131)+IF(SUM(Contracts!$Q$161:$AB$161)=0,0,Licences!$D$9*SUM(Contracts!$Q$17:$AB$17)/SUM(Contracts!$Q$161:$AB$161))</f>
        <v>140260.340608278</v>
      </c>
      <c r="AD15" s="64" t="n">
        <f aca="false">IF($AB$44=0,0,AB15/$AB$44)</f>
        <v>0.036639053909437</v>
      </c>
      <c r="AE15" s="67" t="n">
        <f aca="false">IF((SUM(Contracts!$E$161:$P$161)*(Assumptions!$C$97*Assumptions!$C$107+Assumptions!$C$109)+SUM(Contracts!$E$162:$P$162)*(Assumptions!$C$98*Assumptions!$C$107+Assumptions!$C$108))=0,0,People!$C$102*(SUM(Contracts!$E$17:$P$17)*(Assumptions!$C$97*Assumptions!$C$107+Assumptions!$C$109)+SUM(Contracts!$E$55:$P$55)*(Assumptions!$C$98*Assumptions!$C$107+Assumptions!$C$108))/(SUM(Contracts!$E$161:$P$161)*(Assumptions!$C$97*Assumptions!$C$107+Assumptions!$C$109)+SUM(Contracts!$E$162:$P$162)*(Assumptions!$C$98*Assumptions!$C$107+Assumptions!$C$108)))+IF((SUM(Contracts!$E$161:$P$161)*Assumptions!$C$147+SUM(Contracts!$E$162:$P$162))=0,0,Overheads!$C$23*(SUM(Contracts!$E$17:$P$17)*Assumptions!$C$147+SUM(Contracts!$E$55:$P$55))/(SUM(Contracts!$E$161:$P$161)*Assumptions!$C$147+SUM(Contracts!$E$162:$P$162)))+IF(SUM(Contracts!$E$161:$P$161)=0,0,(Licences!$C$10-Rebates!$C$18)*SUM(Contracts!$E$17:$P$17)/SUM(Contracts!$E$161:$P$161))+IF(SUM(Contracts!$E$162:$P$162)=0,0,(Overheads!$C$24+Overheads!$C$25)*SUM(Contracts!$E$55:$P$55)/SUM(Contracts!$E$162:$P$162))</f>
        <v>84545.1382106545</v>
      </c>
      <c r="AF15" s="67" t="n">
        <f aca="false">AB15-AE15</f>
        <v>48693.7507716375</v>
      </c>
      <c r="AG15" s="64" t="n">
        <f aca="false">IF(AB15=0,0,AF15/AB15)</f>
        <v>0.365461999447542</v>
      </c>
      <c r="AH15" s="140"/>
    </row>
    <row r="16" customFormat="false" ht="15" hidden="false" customHeight="false" outlineLevel="0" collapsed="false">
      <c r="A16" s="132" t="s">
        <v>822</v>
      </c>
      <c r="B16" s="132" t="s">
        <v>1364</v>
      </c>
      <c r="C16" s="132" t="s">
        <v>1616</v>
      </c>
      <c r="D16" s="132" t="s">
        <v>1630</v>
      </c>
      <c r="E16" s="79" t="n">
        <f aca="false">IF(C16="PT",Assumptions!$C$18,0)</f>
        <v>0.23</v>
      </c>
      <c r="F16" s="133" t="n">
        <v>45596</v>
      </c>
      <c r="G16" s="84" t="n">
        <f aca="false">((YEAR(F16)-YEAR(Assumptions!$C$8))*12+MONTH(F16)-MONTH(Assumptions!$C$8)+1)</f>
        <v>-14</v>
      </c>
      <c r="H16" s="132" t="s">
        <v>1618</v>
      </c>
      <c r="I16" s="115" t="n">
        <v>60</v>
      </c>
      <c r="J16" s="115" t="n">
        <v>12</v>
      </c>
      <c r="K16" s="134" t="n">
        <v>50</v>
      </c>
      <c r="L16" s="134" t="n">
        <v>70</v>
      </c>
      <c r="M16" s="135" t="n">
        <v>0.002</v>
      </c>
      <c r="N16" s="136" t="n">
        <v>30</v>
      </c>
      <c r="O16" s="132" t="s">
        <v>1623</v>
      </c>
      <c r="P16" s="137" t="n">
        <v>0.95</v>
      </c>
      <c r="Q16" s="137" t="n">
        <v>0.88</v>
      </c>
      <c r="R16" s="137" t="n">
        <v>0.97</v>
      </c>
      <c r="S16" s="79" t="n">
        <f aca="false">CHOOSE(Assumptions!$C$11,P16,Q16,R16)</f>
        <v>0.95</v>
      </c>
      <c r="T16" s="84" t="n">
        <f aca="false">G16</f>
        <v>-14</v>
      </c>
      <c r="U16" s="138" t="str">
        <f aca="false">TEXT(F16,"mmmm")</f>
        <v>October</v>
      </c>
      <c r="V16" s="139" t="n">
        <f aca="false">EOMONTH(F16,Assumptions!$C$90*(INT((Assumptions!$C$10-T16)/Assumptions!$C$90)+1))</f>
        <v>46691</v>
      </c>
      <c r="W16" s="76" t="n">
        <f aca="false">IF(G16&gt;=-11,I16*Assumptions!$C$92,0)</f>
        <v>0</v>
      </c>
      <c r="X16" s="76" t="n">
        <f aca="false">W16*IF(H16="Pipeline",S16,1)</f>
        <v>0</v>
      </c>
      <c r="Y16" s="67" t="n">
        <f aca="false">INDEX(Contracts!$E$18:$AB$18,Assumptions!$C$10)</f>
        <v>61</v>
      </c>
      <c r="Z16" s="67" t="n">
        <f aca="false">INDEX(Contracts!$E$56:$AB$56,Assumptions!$C$10)</f>
        <v>12</v>
      </c>
      <c r="AA16" s="67" t="n">
        <f aca="false">INDEX(Contracts!$E$132:$AB$132,Assumptions!$C$10)</f>
        <v>3890</v>
      </c>
      <c r="AB16" s="67" t="n">
        <f aca="false">SUM(Contracts!$E$132:$P$132)+IF(SUM(Contracts!$E$161:$P$161)=0,0,Licences!$C$9*SUM(Contracts!$E$18:$P$18)/SUM(Contracts!$E$161:$P$161))</f>
        <v>59544.5296115069</v>
      </c>
      <c r="AC16" s="67" t="n">
        <f aca="false">SUM(Contracts!$Q$132:$AB$132)+IF(SUM(Contracts!$Q$161:$AB$161)=0,0,Licences!$D$9*SUM(Contracts!$Q$18:$AB$18)/SUM(Contracts!$Q$161:$AB$161))</f>
        <v>61972.0765562749</v>
      </c>
      <c r="AD16" s="64" t="n">
        <f aca="false">IF($AB$44=0,0,AB16/$AB$44)</f>
        <v>0.0163740124757271</v>
      </c>
      <c r="AE16" s="67" t="n">
        <f aca="false">IF((SUM(Contracts!$E$161:$P$161)*(Assumptions!$C$97*Assumptions!$C$107+Assumptions!$C$109)+SUM(Contracts!$E$162:$P$162)*(Assumptions!$C$98*Assumptions!$C$107+Assumptions!$C$108))=0,0,People!$C$102*(SUM(Contracts!$E$18:$P$18)*(Assumptions!$C$97*Assumptions!$C$107+Assumptions!$C$109)+SUM(Contracts!$E$56:$P$56)*(Assumptions!$C$98*Assumptions!$C$107+Assumptions!$C$108))/(SUM(Contracts!$E$161:$P$161)*(Assumptions!$C$97*Assumptions!$C$107+Assumptions!$C$109)+SUM(Contracts!$E$162:$P$162)*(Assumptions!$C$98*Assumptions!$C$107+Assumptions!$C$108)))+IF((SUM(Contracts!$E$161:$P$161)*Assumptions!$C$147+SUM(Contracts!$E$162:$P$162))=0,0,Overheads!$C$23*(SUM(Contracts!$E$18:$P$18)*Assumptions!$C$147+SUM(Contracts!$E$56:$P$56))/(SUM(Contracts!$E$161:$P$161)*Assumptions!$C$147+SUM(Contracts!$E$162:$P$162)))+IF(SUM(Contracts!$E$161:$P$161)=0,0,(Licences!$C$10-Rebates!$C$18)*SUM(Contracts!$E$18:$P$18)/SUM(Contracts!$E$161:$P$161))+IF(SUM(Contracts!$E$162:$P$162)=0,0,(Overheads!$C$24+Overheads!$C$25)*SUM(Contracts!$E$56:$P$56)/SUM(Contracts!$E$162:$P$162))</f>
        <v>31802.3422831402</v>
      </c>
      <c r="AF16" s="67" t="n">
        <f aca="false">AB16-AE16</f>
        <v>27742.1873283667</v>
      </c>
      <c r="AG16" s="64" t="n">
        <f aca="false">IF(AB16=0,0,AF16/AB16)</f>
        <v>0.465906566218059</v>
      </c>
      <c r="AH16" s="140"/>
    </row>
    <row r="17" customFormat="false" ht="15" hidden="false" customHeight="false" outlineLevel="0" collapsed="false">
      <c r="A17" s="132" t="s">
        <v>823</v>
      </c>
      <c r="B17" s="132" t="s">
        <v>1357</v>
      </c>
      <c r="C17" s="132" t="s">
        <v>1616</v>
      </c>
      <c r="D17" s="132" t="s">
        <v>1631</v>
      </c>
      <c r="E17" s="79" t="n">
        <f aca="false">IF(C17="PT",Assumptions!$C$18,0)</f>
        <v>0.23</v>
      </c>
      <c r="F17" s="133" t="n">
        <v>44804</v>
      </c>
      <c r="G17" s="84" t="n">
        <f aca="false">((YEAR(F17)-YEAR(Assumptions!$C$8))*12+MONTH(F17)-MONTH(Assumptions!$C$8)+1)</f>
        <v>-40</v>
      </c>
      <c r="H17" s="132" t="s">
        <v>1618</v>
      </c>
      <c r="I17" s="115" t="n">
        <v>130</v>
      </c>
      <c r="J17" s="115" t="n">
        <v>60</v>
      </c>
      <c r="K17" s="134" t="n">
        <v>37</v>
      </c>
      <c r="L17" s="134" t="n">
        <v>52</v>
      </c>
      <c r="M17" s="135" t="n">
        <v>0.002</v>
      </c>
      <c r="N17" s="136" t="n">
        <v>30</v>
      </c>
      <c r="O17" s="132" t="s">
        <v>1623</v>
      </c>
      <c r="P17" s="137" t="n">
        <v>0.93</v>
      </c>
      <c r="Q17" s="137" t="n">
        <v>0.85</v>
      </c>
      <c r="R17" s="137" t="n">
        <v>0.96</v>
      </c>
      <c r="S17" s="79" t="n">
        <f aca="false">CHOOSE(Assumptions!$C$11,P17,Q17,R17)</f>
        <v>0.93</v>
      </c>
      <c r="T17" s="84" t="n">
        <f aca="false">G17</f>
        <v>-40</v>
      </c>
      <c r="U17" s="138" t="str">
        <f aca="false">TEXT(F17,"mmmm")</f>
        <v>August</v>
      </c>
      <c r="V17" s="139" t="n">
        <f aca="false">EOMONTH(F17,Assumptions!$C$90*(INT((Assumptions!$C$10-T17)/Assumptions!$C$90)+1))</f>
        <v>46996</v>
      </c>
      <c r="W17" s="76" t="n">
        <f aca="false">IF(G17&gt;=-11,I17*Assumptions!$C$92,0)</f>
        <v>0</v>
      </c>
      <c r="X17" s="76" t="n">
        <f aca="false">W17*IF(H17="Pipeline",S17,1)</f>
        <v>0</v>
      </c>
      <c r="Y17" s="67" t="n">
        <f aca="false">INDEX(Contracts!$E$19:$AB$19,Assumptions!$C$10)</f>
        <v>132</v>
      </c>
      <c r="Z17" s="67" t="n">
        <f aca="false">INDEX(Contracts!$E$57:$AB$57,Assumptions!$C$10)</f>
        <v>60</v>
      </c>
      <c r="AA17" s="67" t="n">
        <f aca="false">INDEX(Contracts!$E$133:$AB$133,Assumptions!$C$10)</f>
        <v>8212.1</v>
      </c>
      <c r="AB17" s="67" t="n">
        <f aca="false">SUM(Contracts!$E$133:$P$133)+IF(SUM(Contracts!$E$161:$P$161)=0,0,Licences!$C$9*SUM(Contracts!$E$19:$P$19)/SUM(Contracts!$E$161:$P$161))</f>
        <v>124440.976685528</v>
      </c>
      <c r="AC17" s="67" t="n">
        <f aca="false">SUM(Contracts!$Q$133:$AB$133)+IF(SUM(Contracts!$Q$161:$AB$161)=0,0,Licences!$D$9*SUM(Contracts!$Q$19:$AB$19)/SUM(Contracts!$Q$161:$AB$161))</f>
        <v>130519.536900481</v>
      </c>
      <c r="AD17" s="64" t="n">
        <f aca="false">IF($AB$44=0,0,AB17/$AB$44)</f>
        <v>0.0342197363558775</v>
      </c>
      <c r="AE17" s="67" t="n">
        <f aca="false">IF((SUM(Contracts!$E$161:$P$161)*(Assumptions!$C$97*Assumptions!$C$107+Assumptions!$C$109)+SUM(Contracts!$E$162:$P$162)*(Assumptions!$C$98*Assumptions!$C$107+Assumptions!$C$108))=0,0,People!$C$102*(SUM(Contracts!$E$19:$P$19)*(Assumptions!$C$97*Assumptions!$C$107+Assumptions!$C$109)+SUM(Contracts!$E$57:$P$57)*(Assumptions!$C$98*Assumptions!$C$107+Assumptions!$C$108))/(SUM(Contracts!$E$161:$P$161)*(Assumptions!$C$97*Assumptions!$C$107+Assumptions!$C$109)+SUM(Contracts!$E$162:$P$162)*(Assumptions!$C$98*Assumptions!$C$107+Assumptions!$C$108)))+IF((SUM(Contracts!$E$161:$P$161)*Assumptions!$C$147+SUM(Contracts!$E$162:$P$162))=0,0,Overheads!$C$23*(SUM(Contracts!$E$19:$P$19)*Assumptions!$C$147+SUM(Contracts!$E$57:$P$57))/(SUM(Contracts!$E$161:$P$161)*Assumptions!$C$147+SUM(Contracts!$E$162:$P$162)))+IF(SUM(Contracts!$E$161:$P$161)=0,0,(Licences!$C$10-Rebates!$C$18)*SUM(Contracts!$E$19:$P$19)/SUM(Contracts!$E$161:$P$161))+IF(SUM(Contracts!$E$162:$P$162)=0,0,(Overheads!$C$24+Overheads!$C$25)*SUM(Contracts!$E$57:$P$57)/SUM(Contracts!$E$162:$P$162))</f>
        <v>89296.0871385325</v>
      </c>
      <c r="AF17" s="67" t="n">
        <f aca="false">AB17-AE17</f>
        <v>35144.8895469959</v>
      </c>
      <c r="AG17" s="64" t="n">
        <f aca="false">IF(AB17=0,0,AF17/AB17)</f>
        <v>0.28242216095595</v>
      </c>
      <c r="AH17" s="140"/>
    </row>
    <row r="18" customFormat="false" ht="15" hidden="false" customHeight="false" outlineLevel="0" collapsed="false">
      <c r="A18" s="132" t="s">
        <v>824</v>
      </c>
      <c r="B18" s="132" t="s">
        <v>1339</v>
      </c>
      <c r="C18" s="132" t="s">
        <v>1616</v>
      </c>
      <c r="D18" s="132" t="s">
        <v>1632</v>
      </c>
      <c r="E18" s="79" t="n">
        <f aca="false">IF(C18="PT",Assumptions!$C$18,0)</f>
        <v>0.23</v>
      </c>
      <c r="F18" s="133" t="n">
        <v>45260</v>
      </c>
      <c r="G18" s="84" t="n">
        <f aca="false">((YEAR(F18)-YEAR(Assumptions!$C$8))*12+MONTH(F18)-MONTH(Assumptions!$C$8)+1)</f>
        <v>-25</v>
      </c>
      <c r="H18" s="132" t="s">
        <v>1618</v>
      </c>
      <c r="I18" s="115" t="n">
        <v>110</v>
      </c>
      <c r="J18" s="115" t="n">
        <v>36</v>
      </c>
      <c r="K18" s="134" t="n">
        <v>41</v>
      </c>
      <c r="L18" s="134" t="n">
        <v>61</v>
      </c>
      <c r="M18" s="135" t="n">
        <v>0.001</v>
      </c>
      <c r="N18" s="136" t="n">
        <v>45</v>
      </c>
      <c r="O18" s="132" t="s">
        <v>1623</v>
      </c>
      <c r="P18" s="137" t="n">
        <v>0.93</v>
      </c>
      <c r="Q18" s="137" t="n">
        <v>0.84</v>
      </c>
      <c r="R18" s="137" t="n">
        <v>0.96</v>
      </c>
      <c r="S18" s="79" t="n">
        <f aca="false">CHOOSE(Assumptions!$C$11,P18,Q18,R18)</f>
        <v>0.93</v>
      </c>
      <c r="T18" s="84" t="n">
        <f aca="false">G18</f>
        <v>-25</v>
      </c>
      <c r="U18" s="138" t="str">
        <f aca="false">TEXT(F18,"mmmm")</f>
        <v>November</v>
      </c>
      <c r="V18" s="139" t="n">
        <f aca="false">EOMONTH(F18,Assumptions!$C$90*(INT((Assumptions!$C$10-T18)/Assumptions!$C$90)+1))</f>
        <v>46356</v>
      </c>
      <c r="W18" s="76" t="n">
        <f aca="false">IF(G18&gt;=-11,I18*Assumptions!$C$92,0)</f>
        <v>0</v>
      </c>
      <c r="X18" s="76" t="n">
        <f aca="false">W18*IF(H18="Pipeline",S18,1)</f>
        <v>0</v>
      </c>
      <c r="Y18" s="67" t="n">
        <f aca="false">INDEX(Contracts!$E$20:$AB$20,Assumptions!$C$10)</f>
        <v>111</v>
      </c>
      <c r="Z18" s="67" t="n">
        <f aca="false">INDEX(Contracts!$E$58:$AB$58,Assumptions!$C$10)</f>
        <v>36</v>
      </c>
      <c r="AA18" s="67" t="n">
        <f aca="false">INDEX(Contracts!$E$134:$AB$134,Assumptions!$C$10)</f>
        <v>6747</v>
      </c>
      <c r="AB18" s="67" t="n">
        <f aca="false">SUM(Contracts!$E$134:$P$134)+IF(SUM(Contracts!$E$161:$P$161)=0,0,Licences!$C$9*SUM(Contracts!$E$20:$P$20)/SUM(Contracts!$E$161:$P$161))</f>
        <v>103181.560094702</v>
      </c>
      <c r="AC18" s="67" t="n">
        <f aca="false">SUM(Contracts!$Q$134:$AB$134)+IF(SUM(Contracts!$Q$161:$AB$161)=0,0,Licences!$D$9*SUM(Contracts!$Q$20:$AB$20)/SUM(Contracts!$Q$161:$AB$161))</f>
        <v>101100.997221433</v>
      </c>
      <c r="AD18" s="64" t="n">
        <f aca="false">IF($AB$44=0,0,AB18/$AB$44)</f>
        <v>0.0283736585590416</v>
      </c>
      <c r="AE18" s="67" t="n">
        <f aca="false">IF((SUM(Contracts!$E$161:$P$161)*(Assumptions!$C$97*Assumptions!$C$107+Assumptions!$C$109)+SUM(Contracts!$E$162:$P$162)*(Assumptions!$C$98*Assumptions!$C$107+Assumptions!$C$108))=0,0,People!$C$102*(SUM(Contracts!$E$20:$P$20)*(Assumptions!$C$97*Assumptions!$C$107+Assumptions!$C$109)+SUM(Contracts!$E$58:$P$58)*(Assumptions!$C$98*Assumptions!$C$107+Assumptions!$C$108))/(SUM(Contracts!$E$161:$P$161)*(Assumptions!$C$97*Assumptions!$C$107+Assumptions!$C$109)+SUM(Contracts!$E$162:$P$162)*(Assumptions!$C$98*Assumptions!$C$107+Assumptions!$C$108)))+IF((SUM(Contracts!$E$161:$P$161)*Assumptions!$C$147+SUM(Contracts!$E$162:$P$162))=0,0,Overheads!$C$23*(SUM(Contracts!$E$20:$P$20)*Assumptions!$C$147+SUM(Contracts!$E$58:$P$58))/(SUM(Contracts!$E$161:$P$161)*Assumptions!$C$147+SUM(Contracts!$E$162:$P$162)))+IF(SUM(Contracts!$E$161:$P$161)=0,0,(Licences!$C$10-Rebates!$C$18)*SUM(Contracts!$E$20:$P$20)/SUM(Contracts!$E$161:$P$161))+IF(SUM(Contracts!$E$162:$P$162)=0,0,(Overheads!$C$24+Overheads!$C$25)*SUM(Contracts!$E$58:$P$58)/SUM(Contracts!$E$162:$P$162))</f>
        <v>65699.5796555556</v>
      </c>
      <c r="AF18" s="67" t="n">
        <f aca="false">AB18-AE18</f>
        <v>37481.9804391467</v>
      </c>
      <c r="AG18" s="64" t="n">
        <f aca="false">IF(AB18=0,0,AF18/AB18)</f>
        <v>0.363262393054969</v>
      </c>
      <c r="AH18" s="140"/>
    </row>
    <row r="19" customFormat="false" ht="15" hidden="false" customHeight="false" outlineLevel="0" collapsed="false">
      <c r="A19" s="132" t="s">
        <v>825</v>
      </c>
      <c r="B19" s="132" t="s">
        <v>1348</v>
      </c>
      <c r="C19" s="132" t="s">
        <v>1616</v>
      </c>
      <c r="D19" s="132" t="s">
        <v>1633</v>
      </c>
      <c r="E19" s="79" t="n">
        <f aca="false">IF(C19="PT",Assumptions!$C$18,0)</f>
        <v>0.23</v>
      </c>
      <c r="F19" s="133" t="n">
        <v>45747</v>
      </c>
      <c r="G19" s="84" t="n">
        <f aca="false">((YEAR(F19)-YEAR(Assumptions!$C$8))*12+MONTH(F19)-MONTH(Assumptions!$C$8)+1)</f>
        <v>-9</v>
      </c>
      <c r="H19" s="132" t="s">
        <v>1618</v>
      </c>
      <c r="I19" s="115" t="n">
        <v>70</v>
      </c>
      <c r="J19" s="115" t="n">
        <v>15</v>
      </c>
      <c r="K19" s="134" t="n">
        <v>47</v>
      </c>
      <c r="L19" s="134" t="n">
        <v>66</v>
      </c>
      <c r="M19" s="135" t="n">
        <v>0.003</v>
      </c>
      <c r="N19" s="136" t="n">
        <v>30</v>
      </c>
      <c r="O19" s="132" t="s">
        <v>1623</v>
      </c>
      <c r="P19" s="137" t="n">
        <v>0.94</v>
      </c>
      <c r="Q19" s="137" t="n">
        <v>0.86</v>
      </c>
      <c r="R19" s="137" t="n">
        <v>0.97</v>
      </c>
      <c r="S19" s="79" t="n">
        <f aca="false">CHOOSE(Assumptions!$C$11,P19,Q19,R19)</f>
        <v>0.94</v>
      </c>
      <c r="T19" s="84" t="n">
        <f aca="false">G19</f>
        <v>-9</v>
      </c>
      <c r="U19" s="138" t="str">
        <f aca="false">TEXT(F19,"mmmm")</f>
        <v>March</v>
      </c>
      <c r="V19" s="139" t="n">
        <f aca="false">EOMONTH(F19,Assumptions!$C$90*(INT((Assumptions!$C$10-T19)/Assumptions!$C$90)+1))</f>
        <v>46843</v>
      </c>
      <c r="W19" s="76" t="n">
        <f aca="false">IF(G19&gt;=-11,I19*Assumptions!$C$92,0)</f>
        <v>3150</v>
      </c>
      <c r="X19" s="76" t="n">
        <f aca="false">W19*IF(H19="Pipeline",S19,1)</f>
        <v>3150</v>
      </c>
      <c r="Y19" s="67" t="n">
        <f aca="false">INDEX(Contracts!$E$21:$AB$21,Assumptions!$C$10)</f>
        <v>71</v>
      </c>
      <c r="Z19" s="67" t="n">
        <f aca="false">INDEX(Contracts!$E$59:$AB$59,Assumptions!$C$10)</f>
        <v>15</v>
      </c>
      <c r="AA19" s="67" t="n">
        <f aca="false">INDEX(Contracts!$E$135:$AB$135,Assumptions!$C$10)</f>
        <v>4439.5</v>
      </c>
      <c r="AB19" s="67" t="n">
        <f aca="false">SUM(Contracts!$E$135:$P$135)+IF(SUM(Contracts!$E$161:$P$161)=0,0,Licences!$C$9*SUM(Contracts!$E$21:$P$21)/SUM(Contracts!$E$161:$P$161))</f>
        <v>67860.489608812</v>
      </c>
      <c r="AC19" s="67" t="n">
        <f aca="false">SUM(Contracts!$Q$135:$AB$135)+IF(SUM(Contracts!$Q$161:$AB$161)=0,0,Licences!$D$9*SUM(Contracts!$Q$21:$AB$21)/SUM(Contracts!$Q$161:$AB$161))</f>
        <v>71936.6828594351</v>
      </c>
      <c r="AD19" s="64" t="n">
        <f aca="false">IF($AB$44=0,0,AB19/$AB$44)</f>
        <v>0.0186607990811789</v>
      </c>
      <c r="AE19" s="67" t="n">
        <f aca="false">IF((SUM(Contracts!$E$161:$P$161)*(Assumptions!$C$97*Assumptions!$C$107+Assumptions!$C$109)+SUM(Contracts!$E$162:$P$162)*(Assumptions!$C$98*Assumptions!$C$107+Assumptions!$C$108))=0,0,People!$C$102*(SUM(Contracts!$E$21:$P$21)*(Assumptions!$C$97*Assumptions!$C$107+Assumptions!$C$109)+SUM(Contracts!$E$59:$P$59)*(Assumptions!$C$98*Assumptions!$C$107+Assumptions!$C$108))/(SUM(Contracts!$E$161:$P$161)*(Assumptions!$C$97*Assumptions!$C$107+Assumptions!$C$109)+SUM(Contracts!$E$162:$P$162)*(Assumptions!$C$98*Assumptions!$C$107+Assumptions!$C$108)))+IF((SUM(Contracts!$E$161:$P$161)*Assumptions!$C$147+SUM(Contracts!$E$162:$P$162))=0,0,Overheads!$C$23*(SUM(Contracts!$E$21:$P$21)*Assumptions!$C$147+SUM(Contracts!$E$59:$P$59))/(SUM(Contracts!$E$161:$P$161)*Assumptions!$C$147+SUM(Contracts!$E$162:$P$162)))+IF(SUM(Contracts!$E$161:$P$161)=0,0,(Licences!$C$10-Rebates!$C$18)*SUM(Contracts!$E$21:$P$21)/SUM(Contracts!$E$161:$P$161))+IF(SUM(Contracts!$E$162:$P$162)=0,0,(Overheads!$C$24+Overheads!$C$25)*SUM(Contracts!$E$59:$P$59)/SUM(Contracts!$E$162:$P$162))</f>
        <v>37757.5677523292</v>
      </c>
      <c r="AF19" s="67" t="n">
        <f aca="false">AB19-AE19</f>
        <v>30102.9218564828</v>
      </c>
      <c r="AG19" s="64" t="n">
        <f aca="false">IF(AB19=0,0,AF19/AB19)</f>
        <v>0.443600127703379</v>
      </c>
      <c r="AH19" s="140"/>
    </row>
    <row r="20" customFormat="false" ht="15" hidden="false" customHeight="false" outlineLevel="0" collapsed="false">
      <c r="A20" s="132" t="s">
        <v>826</v>
      </c>
      <c r="B20" s="132" t="s">
        <v>1370</v>
      </c>
      <c r="C20" s="132" t="s">
        <v>1616</v>
      </c>
      <c r="D20" s="132" t="s">
        <v>1634</v>
      </c>
      <c r="E20" s="79" t="n">
        <f aca="false">IF(C20="PT",Assumptions!$C$18,0)</f>
        <v>0.23</v>
      </c>
      <c r="F20" s="133" t="n">
        <v>45077</v>
      </c>
      <c r="G20" s="84" t="n">
        <f aca="false">((YEAR(F20)-YEAR(Assumptions!$C$8))*12+MONTH(F20)-MONTH(Assumptions!$C$8)+1)</f>
        <v>-31</v>
      </c>
      <c r="H20" s="132" t="s">
        <v>1618</v>
      </c>
      <c r="I20" s="115" t="n">
        <v>90</v>
      </c>
      <c r="J20" s="115" t="n">
        <v>28</v>
      </c>
      <c r="K20" s="134" t="n">
        <v>39</v>
      </c>
      <c r="L20" s="134" t="n">
        <v>58</v>
      </c>
      <c r="M20" s="135" t="n">
        <v>0.002</v>
      </c>
      <c r="N20" s="136" t="n">
        <v>45</v>
      </c>
      <c r="O20" s="132" t="s">
        <v>1623</v>
      </c>
      <c r="P20" s="137" t="n">
        <v>0.93</v>
      </c>
      <c r="Q20" s="137" t="n">
        <v>0.85</v>
      </c>
      <c r="R20" s="137" t="n">
        <v>0.96</v>
      </c>
      <c r="S20" s="79" t="n">
        <f aca="false">CHOOSE(Assumptions!$C$11,P20,Q20,R20)</f>
        <v>0.93</v>
      </c>
      <c r="T20" s="84" t="n">
        <f aca="false">G20</f>
        <v>-31</v>
      </c>
      <c r="U20" s="138" t="str">
        <f aca="false">TEXT(F20,"mmmm")</f>
        <v>May</v>
      </c>
      <c r="V20" s="139" t="n">
        <f aca="false">EOMONTH(F20,Assumptions!$C$90*(INT((Assumptions!$C$10-T20)/Assumptions!$C$90)+1))</f>
        <v>47269</v>
      </c>
      <c r="W20" s="76" t="n">
        <f aca="false">IF(G20&gt;=-11,I20*Assumptions!$C$92,0)</f>
        <v>0</v>
      </c>
      <c r="X20" s="76" t="n">
        <f aca="false">W20*IF(H20="Pipeline",S20,1)</f>
        <v>0</v>
      </c>
      <c r="Y20" s="67" t="n">
        <f aca="false">INDEX(Contracts!$E$22:$AB$22,Assumptions!$C$10)</f>
        <v>92</v>
      </c>
      <c r="Z20" s="67" t="n">
        <f aca="false">INDEX(Contracts!$E$60:$AB$60,Assumptions!$C$10)</f>
        <v>28</v>
      </c>
      <c r="AA20" s="67" t="n">
        <f aca="false">INDEX(Contracts!$E$136:$AB$136,Assumptions!$C$10)</f>
        <v>5347.51</v>
      </c>
      <c r="AB20" s="67" t="n">
        <f aca="false">SUM(Contracts!$E$136:$P$136)+IF(SUM(Contracts!$E$161:$P$161)=0,0,Licences!$C$9*SUM(Contracts!$E$22:$P$22)/SUM(Contracts!$E$161:$P$161))</f>
        <v>82711.3949563834</v>
      </c>
      <c r="AC20" s="67" t="n">
        <f aca="false">SUM(Contracts!$Q$136:$AB$136)+IF(SUM(Contracts!$Q$161:$AB$161)=0,0,Licences!$D$9*SUM(Contracts!$Q$22:$AB$22)/SUM(Contracts!$Q$161:$AB$161))</f>
        <v>86864.4622230077</v>
      </c>
      <c r="AD20" s="64" t="n">
        <f aca="false">IF($AB$44=0,0,AB20/$AB$44)</f>
        <v>0.0227446151936499</v>
      </c>
      <c r="AE20" s="67" t="n">
        <f aca="false">IF((SUM(Contracts!$E$161:$P$161)*(Assumptions!$C$97*Assumptions!$C$107+Assumptions!$C$109)+SUM(Contracts!$E$162:$P$162)*(Assumptions!$C$98*Assumptions!$C$107+Assumptions!$C$108))=0,0,People!$C$102*(SUM(Contracts!$E$22:$P$22)*(Assumptions!$C$97*Assumptions!$C$107+Assumptions!$C$109)+SUM(Contracts!$E$60:$P$60)*(Assumptions!$C$98*Assumptions!$C$107+Assumptions!$C$108))/(SUM(Contracts!$E$161:$P$161)*(Assumptions!$C$97*Assumptions!$C$107+Assumptions!$C$109)+SUM(Contracts!$E$162:$P$162)*(Assumptions!$C$98*Assumptions!$C$107+Assumptions!$C$108)))+IF((SUM(Contracts!$E$161:$P$161)*Assumptions!$C$147+SUM(Contracts!$E$162:$P$162))=0,0,Overheads!$C$23*(SUM(Contracts!$E$22:$P$22)*Assumptions!$C$147+SUM(Contracts!$E$60:$P$60))/(SUM(Contracts!$E$161:$P$161)*Assumptions!$C$147+SUM(Contracts!$E$162:$P$162)))+IF(SUM(Contracts!$E$161:$P$161)=0,0,(Licences!$C$10-Rebates!$C$18)*SUM(Contracts!$E$22:$P$22)/SUM(Contracts!$E$161:$P$161))+IF(SUM(Contracts!$E$162:$P$162)=0,0,(Overheads!$C$24+Overheads!$C$25)*SUM(Contracts!$E$60:$P$60)/SUM(Contracts!$E$162:$P$162))</f>
        <v>53980.2745198092</v>
      </c>
      <c r="AF20" s="67" t="n">
        <f aca="false">AB20-AE20</f>
        <v>28731.1204365742</v>
      </c>
      <c r="AG20" s="64" t="n">
        <f aca="false">IF(AB20=0,0,AF20/AB20)</f>
        <v>0.347365927653924</v>
      </c>
      <c r="AH20" s="140"/>
    </row>
    <row r="21" customFormat="false" ht="15" hidden="false" customHeight="false" outlineLevel="0" collapsed="false">
      <c r="A21" s="132" t="s">
        <v>827</v>
      </c>
      <c r="B21" s="132" t="s">
        <v>1354</v>
      </c>
      <c r="C21" s="132" t="s">
        <v>1616</v>
      </c>
      <c r="D21" s="132" t="s">
        <v>1635</v>
      </c>
      <c r="E21" s="79" t="n">
        <f aca="false">IF(C21="PT",Assumptions!$C$18,0)</f>
        <v>0.23</v>
      </c>
      <c r="F21" s="133" t="n">
        <v>45443</v>
      </c>
      <c r="G21" s="84" t="n">
        <f aca="false">((YEAR(F21)-YEAR(Assumptions!$C$8))*12+MONTH(F21)-MONTH(Assumptions!$C$8)+1)</f>
        <v>-19</v>
      </c>
      <c r="H21" s="132" t="s">
        <v>1618</v>
      </c>
      <c r="I21" s="115" t="n">
        <v>75</v>
      </c>
      <c r="J21" s="115" t="n">
        <v>20</v>
      </c>
      <c r="K21" s="134" t="n">
        <v>49</v>
      </c>
      <c r="L21" s="134" t="n">
        <v>70</v>
      </c>
      <c r="M21" s="135" t="n">
        <v>0.003</v>
      </c>
      <c r="N21" s="136" t="n">
        <v>30</v>
      </c>
      <c r="O21" s="132" t="s">
        <v>1619</v>
      </c>
      <c r="P21" s="137" t="n">
        <v>0.94</v>
      </c>
      <c r="Q21" s="137" t="n">
        <v>0.86</v>
      </c>
      <c r="R21" s="137" t="n">
        <v>0.97</v>
      </c>
      <c r="S21" s="79" t="n">
        <f aca="false">CHOOSE(Assumptions!$C$11,P21,Q21,R21)</f>
        <v>0.94</v>
      </c>
      <c r="T21" s="84" t="n">
        <f aca="false">G21</f>
        <v>-19</v>
      </c>
      <c r="U21" s="138" t="str">
        <f aca="false">TEXT(F21,"mmmm")</f>
        <v>May</v>
      </c>
      <c r="V21" s="139" t="n">
        <f aca="false">EOMONTH(F21,Assumptions!$C$90*(INT((Assumptions!$C$10-T21)/Assumptions!$C$90)+1))</f>
        <v>46538</v>
      </c>
      <c r="W21" s="76" t="n">
        <f aca="false">IF(G21&gt;=-11,I21*Assumptions!$C$92,0)</f>
        <v>0</v>
      </c>
      <c r="X21" s="76" t="n">
        <f aca="false">W21*IF(H21="Pipeline",S21,1)</f>
        <v>0</v>
      </c>
      <c r="Y21" s="67" t="n">
        <f aca="false">INDEX(Contracts!$E$23:$AB$23,Assumptions!$C$10)</f>
        <v>78</v>
      </c>
      <c r="Z21" s="67" t="n">
        <f aca="false">INDEX(Contracts!$E$61:$AB$61,Assumptions!$C$10)</f>
        <v>20</v>
      </c>
      <c r="AA21" s="67" t="n">
        <f aca="false">INDEX(Contracts!$E$137:$AB$137,Assumptions!$C$10)</f>
        <v>5357.77</v>
      </c>
      <c r="AB21" s="67" t="n">
        <f aca="false">SUM(Contracts!$E$137:$P$137)+IF(SUM(Contracts!$E$161:$P$161)=0,0,Licences!$C$9*SUM(Contracts!$E$23:$P$23)/SUM(Contracts!$E$161:$P$161))</f>
        <v>79510.7143360457</v>
      </c>
      <c r="AC21" s="67" t="n">
        <f aca="false">SUM(Contracts!$Q$137:$AB$137)+IF(SUM(Contracts!$Q$161:$AB$161)=0,0,Licences!$D$9*SUM(Contracts!$Q$23:$AB$23)/SUM(Contracts!$Q$161:$AB$161))</f>
        <v>81304.236837336</v>
      </c>
      <c r="AD21" s="64" t="n">
        <f aca="false">IF($AB$44=0,0,AB21/$AB$44)</f>
        <v>0.0218644674328033</v>
      </c>
      <c r="AE21" s="67" t="n">
        <f aca="false">IF((SUM(Contracts!$E$161:$P$161)*(Assumptions!$C$97*Assumptions!$C$107+Assumptions!$C$109)+SUM(Contracts!$E$162:$P$162)*(Assumptions!$C$98*Assumptions!$C$107+Assumptions!$C$108))=0,0,People!$C$102*(SUM(Contracts!$E$23:$P$23)*(Assumptions!$C$97*Assumptions!$C$107+Assumptions!$C$109)+SUM(Contracts!$E$61:$P$61)*(Assumptions!$C$98*Assumptions!$C$107+Assumptions!$C$108))/(SUM(Contracts!$E$161:$P$161)*(Assumptions!$C$97*Assumptions!$C$107+Assumptions!$C$109)+SUM(Contracts!$E$162:$P$162)*(Assumptions!$C$98*Assumptions!$C$107+Assumptions!$C$108)))+IF((SUM(Contracts!$E$161:$P$161)*Assumptions!$C$147+SUM(Contracts!$E$162:$P$162))=0,0,Overheads!$C$23*(SUM(Contracts!$E$23:$P$23)*Assumptions!$C$147+SUM(Contracts!$E$61:$P$61))/(SUM(Contracts!$E$161:$P$161)*Assumptions!$C$147+SUM(Contracts!$E$162:$P$162)))+IF(SUM(Contracts!$E$161:$P$161)=0,0,(Licences!$C$10-Rebates!$C$18)*SUM(Contracts!$E$23:$P$23)/SUM(Contracts!$E$161:$P$161))+IF(SUM(Contracts!$E$162:$P$162)=0,0,(Overheads!$C$24+Overheads!$C$25)*SUM(Contracts!$E$61:$P$61)/SUM(Contracts!$E$162:$P$162))</f>
        <v>43329.4460980267</v>
      </c>
      <c r="AF21" s="67" t="n">
        <f aca="false">AB21-AE21</f>
        <v>36181.268238019</v>
      </c>
      <c r="AG21" s="64" t="n">
        <f aca="false">IF(AB21=0,0,AF21/AB21)</f>
        <v>0.455048964660307</v>
      </c>
      <c r="AH21" s="140"/>
    </row>
    <row r="22" customFormat="false" ht="15" hidden="false" customHeight="false" outlineLevel="0" collapsed="false">
      <c r="A22" s="132" t="s">
        <v>828</v>
      </c>
      <c r="B22" s="132" t="s">
        <v>1347</v>
      </c>
      <c r="C22" s="132" t="s">
        <v>1616</v>
      </c>
      <c r="D22" s="132" t="s">
        <v>1636</v>
      </c>
      <c r="E22" s="79" t="n">
        <f aca="false">IF(C22="PT",Assumptions!$C$18,0)</f>
        <v>0.23</v>
      </c>
      <c r="F22" s="133" t="n">
        <v>44135</v>
      </c>
      <c r="G22" s="84" t="n">
        <f aca="false">((YEAR(F22)-YEAR(Assumptions!$C$8))*12+MONTH(F22)-MONTH(Assumptions!$C$8)+1)</f>
        <v>-62</v>
      </c>
      <c r="H22" s="132" t="s">
        <v>1618</v>
      </c>
      <c r="I22" s="115" t="n">
        <v>160</v>
      </c>
      <c r="J22" s="115" t="n">
        <v>52</v>
      </c>
      <c r="K22" s="134" t="n">
        <v>36</v>
      </c>
      <c r="L22" s="134" t="n">
        <v>57</v>
      </c>
      <c r="M22" s="135" t="n">
        <v>0.001</v>
      </c>
      <c r="N22" s="136" t="n">
        <v>60</v>
      </c>
      <c r="O22" s="132" t="s">
        <v>1623</v>
      </c>
      <c r="P22" s="137" t="n">
        <v>0.92</v>
      </c>
      <c r="Q22" s="137" t="n">
        <v>0.8</v>
      </c>
      <c r="R22" s="137" t="n">
        <v>0.95</v>
      </c>
      <c r="S22" s="79" t="n">
        <f aca="false">CHOOSE(Assumptions!$C$11,P22,Q22,R22)</f>
        <v>0.92</v>
      </c>
      <c r="T22" s="84" t="n">
        <f aca="false">G22</f>
        <v>-62</v>
      </c>
      <c r="U22" s="138" t="str">
        <f aca="false">TEXT(F22,"mmmm")</f>
        <v>October</v>
      </c>
      <c r="V22" s="139" t="n">
        <f aca="false">EOMONTH(F22,Assumptions!$C$90*(INT((Assumptions!$C$10-T22)/Assumptions!$C$90)+1))</f>
        <v>46326</v>
      </c>
      <c r="W22" s="76" t="n">
        <f aca="false">IF(G22&gt;=-11,I22*Assumptions!$C$92,0)</f>
        <v>0</v>
      </c>
      <c r="X22" s="76" t="n">
        <f aca="false">W22*IF(H22="Pipeline",S22,1)</f>
        <v>0</v>
      </c>
      <c r="Y22" s="67" t="n">
        <f aca="false">INDEX(Contracts!$E$24:$AB$24,Assumptions!$C$10)</f>
        <v>162</v>
      </c>
      <c r="Z22" s="67" t="n">
        <f aca="false">INDEX(Contracts!$E$62:$AB$62,Assumptions!$C$10)</f>
        <v>52</v>
      </c>
      <c r="AA22" s="67" t="n">
        <f aca="false">INDEX(Contracts!$E$138:$AB$138,Assumptions!$C$10)</f>
        <v>8796</v>
      </c>
      <c r="AB22" s="67" t="n">
        <f aca="false">SUM(Contracts!$E$138:$P$138)+IF(SUM(Contracts!$E$161:$P$161)=0,0,Licences!$C$9*SUM(Contracts!$E$24:$P$24)/SUM(Contracts!$E$161:$P$161))</f>
        <v>136941.034223726</v>
      </c>
      <c r="AC22" s="67" t="n">
        <f aca="false">SUM(Contracts!$Q$138:$AB$138)+IF(SUM(Contracts!$Q$161:$AB$161)=0,0,Licences!$D$9*SUM(Contracts!$Q$24:$AB$24)/SUM(Contracts!$Q$161:$AB$161))</f>
        <v>134096.142257888</v>
      </c>
      <c r="AD22" s="64" t="n">
        <f aca="false">IF($AB$44=0,0,AB22/$AB$44)</f>
        <v>0.0376570982665879</v>
      </c>
      <c r="AE22" s="67" t="n">
        <f aca="false">IF((SUM(Contracts!$E$161:$P$161)*(Assumptions!$C$97*Assumptions!$C$107+Assumptions!$C$109)+SUM(Contracts!$E$162:$P$162)*(Assumptions!$C$98*Assumptions!$C$107+Assumptions!$C$108))=0,0,People!$C$102*(SUM(Contracts!$E$24:$P$24)*(Assumptions!$C$97*Assumptions!$C$107+Assumptions!$C$109)+SUM(Contracts!$E$62:$P$62)*(Assumptions!$C$98*Assumptions!$C$107+Assumptions!$C$108))/(SUM(Contracts!$E$161:$P$161)*(Assumptions!$C$97*Assumptions!$C$107+Assumptions!$C$109)+SUM(Contracts!$E$162:$P$162)*(Assumptions!$C$98*Assumptions!$C$107+Assumptions!$C$108)))+IF((SUM(Contracts!$E$161:$P$161)*Assumptions!$C$147+SUM(Contracts!$E$162:$P$162))=0,0,Overheads!$C$23*(SUM(Contracts!$E$24:$P$24)*Assumptions!$C$147+SUM(Contracts!$E$62:$P$62))/(SUM(Contracts!$E$161:$P$161)*Assumptions!$C$147+SUM(Contracts!$E$162:$P$162)))+IF(SUM(Contracts!$E$161:$P$161)=0,0,(Licences!$C$10-Rebates!$C$18)*SUM(Contracts!$E$24:$P$24)/SUM(Contracts!$E$161:$P$161))+IF(SUM(Contracts!$E$162:$P$162)=0,0,(Overheads!$C$24+Overheads!$C$25)*SUM(Contracts!$E$62:$P$62)/SUM(Contracts!$E$162:$P$162))</f>
        <v>94632.9652684562</v>
      </c>
      <c r="AF22" s="67" t="n">
        <f aca="false">AB22-AE22</f>
        <v>42308.0689552703</v>
      </c>
      <c r="AG22" s="64" t="n">
        <f aca="false">IF(AB22=0,0,AF22/AB22)</f>
        <v>0.308950996281726</v>
      </c>
      <c r="AH22" s="140"/>
    </row>
    <row r="23" customFormat="false" ht="15" hidden="false" customHeight="false" outlineLevel="0" collapsed="false">
      <c r="A23" s="132" t="s">
        <v>829</v>
      </c>
      <c r="B23" s="132" t="s">
        <v>1358</v>
      </c>
      <c r="C23" s="132" t="s">
        <v>1616</v>
      </c>
      <c r="D23" s="132" t="s">
        <v>1637</v>
      </c>
      <c r="E23" s="79" t="n">
        <f aca="false">IF(C23="PT",Assumptions!$C$18,0)</f>
        <v>0.23</v>
      </c>
      <c r="F23" s="133" t="n">
        <v>45535</v>
      </c>
      <c r="G23" s="84" t="n">
        <f aca="false">((YEAR(F23)-YEAR(Assumptions!$C$8))*12+MONTH(F23)-MONTH(Assumptions!$C$8)+1)</f>
        <v>-16</v>
      </c>
      <c r="H23" s="132" t="s">
        <v>1618</v>
      </c>
      <c r="I23" s="115" t="n">
        <v>115</v>
      </c>
      <c r="J23" s="115" t="n">
        <v>42</v>
      </c>
      <c r="K23" s="134" t="n">
        <v>46</v>
      </c>
      <c r="L23" s="134" t="n">
        <v>68</v>
      </c>
      <c r="M23" s="135" t="n">
        <v>0.004</v>
      </c>
      <c r="N23" s="136" t="n">
        <v>30</v>
      </c>
      <c r="O23" s="132" t="s">
        <v>1619</v>
      </c>
      <c r="P23" s="137" t="n">
        <v>0.95</v>
      </c>
      <c r="Q23" s="137" t="n">
        <v>0.88</v>
      </c>
      <c r="R23" s="137" t="n">
        <v>0.97</v>
      </c>
      <c r="S23" s="79" t="n">
        <f aca="false">CHOOSE(Assumptions!$C$11,P23,Q23,R23)</f>
        <v>0.95</v>
      </c>
      <c r="T23" s="84" t="n">
        <f aca="false">G23</f>
        <v>-16</v>
      </c>
      <c r="U23" s="138" t="str">
        <f aca="false">TEXT(F23,"mmmm")</f>
        <v>August</v>
      </c>
      <c r="V23" s="139" t="n">
        <f aca="false">EOMONTH(F23,Assumptions!$C$90*(INT((Assumptions!$C$10-T23)/Assumptions!$C$90)+1))</f>
        <v>46630</v>
      </c>
      <c r="W23" s="76" t="n">
        <f aca="false">IF(G23&gt;=-11,I23*Assumptions!$C$92,0)</f>
        <v>0</v>
      </c>
      <c r="X23" s="76" t="n">
        <f aca="false">W23*IF(H23="Pipeline",S23,1)</f>
        <v>0</v>
      </c>
      <c r="Y23" s="67" t="n">
        <f aca="false">INDEX(Contracts!$E$25:$AB$25,Assumptions!$C$10)</f>
        <v>119</v>
      </c>
      <c r="Z23" s="67" t="n">
        <f aca="false">INDEX(Contracts!$E$63:$AB$63,Assumptions!$C$10)</f>
        <v>43</v>
      </c>
      <c r="AA23" s="67" t="n">
        <f aca="false">INDEX(Contracts!$E$139:$AB$139,Assumptions!$C$10)</f>
        <v>8616.35</v>
      </c>
      <c r="AB23" s="67" t="n">
        <f aca="false">SUM(Contracts!$E$139:$P$139)+IF(SUM(Contracts!$E$161:$P$161)=0,0,Licences!$C$9*SUM(Contracts!$E$25:$P$25)/SUM(Contracts!$E$161:$P$161))</f>
        <v>126288.66694766</v>
      </c>
      <c r="AC23" s="67" t="n">
        <f aca="false">SUM(Contracts!$Q$139:$AB$139)+IF(SUM(Contracts!$Q$161:$AB$161)=0,0,Licences!$D$9*SUM(Contracts!$Q$25:$AB$25)/SUM(Contracts!$Q$161:$AB$161))</f>
        <v>132246.279472348</v>
      </c>
      <c r="AD23" s="64" t="n">
        <f aca="false">IF($AB$44=0,0,AB23/$AB$44)</f>
        <v>0.0347278284274887</v>
      </c>
      <c r="AE23" s="67" t="n">
        <f aca="false">IF((SUM(Contracts!$E$161:$P$161)*(Assumptions!$C$97*Assumptions!$C$107+Assumptions!$C$109)+SUM(Contracts!$E$162:$P$162)*(Assumptions!$C$98*Assumptions!$C$107+Assumptions!$C$108))=0,0,People!$C$102*(SUM(Contracts!$E$25:$P$25)*(Assumptions!$C$97*Assumptions!$C$107+Assumptions!$C$109)+SUM(Contracts!$E$63:$P$63)*(Assumptions!$C$98*Assumptions!$C$107+Assumptions!$C$108))/(SUM(Contracts!$E$161:$P$161)*(Assumptions!$C$97*Assumptions!$C$107+Assumptions!$C$109)+SUM(Contracts!$E$162:$P$162)*(Assumptions!$C$98*Assumptions!$C$107+Assumptions!$C$108)))+IF((SUM(Contracts!$E$161:$P$161)*Assumptions!$C$147+SUM(Contracts!$E$162:$P$162))=0,0,Overheads!$C$23*(SUM(Contracts!$E$25:$P$25)*Assumptions!$C$147+SUM(Contracts!$E$63:$P$63))/(SUM(Contracts!$E$161:$P$161)*Assumptions!$C$147+SUM(Contracts!$E$162:$P$162)))+IF(SUM(Contracts!$E$161:$P$161)=0,0,(Licences!$C$10-Rebates!$C$18)*SUM(Contracts!$E$25:$P$25)/SUM(Contracts!$E$161:$P$161))+IF(SUM(Contracts!$E$162:$P$162)=0,0,(Overheads!$C$24+Overheads!$C$25)*SUM(Contracts!$E$63:$P$63)/SUM(Contracts!$E$162:$P$162))</f>
        <v>73717.9150378821</v>
      </c>
      <c r="AF23" s="67" t="n">
        <f aca="false">AB23-AE23</f>
        <v>52570.7519097779</v>
      </c>
      <c r="AG23" s="64" t="n">
        <f aca="false">IF(AB23=0,0,AF23/AB23)</f>
        <v>0.416274501745796</v>
      </c>
      <c r="AH23" s="140"/>
    </row>
    <row r="24" customFormat="false" ht="15" hidden="false" customHeight="false" outlineLevel="0" collapsed="false">
      <c r="A24" s="132" t="s">
        <v>830</v>
      </c>
      <c r="B24" s="132" t="s">
        <v>1361</v>
      </c>
      <c r="C24" s="132" t="s">
        <v>1616</v>
      </c>
      <c r="D24" s="132" t="s">
        <v>1638</v>
      </c>
      <c r="E24" s="79" t="n">
        <f aca="false">IF(C24="PT",Assumptions!$C$18,0)</f>
        <v>0.23</v>
      </c>
      <c r="F24" s="133" t="n">
        <v>45838</v>
      </c>
      <c r="G24" s="84" t="n">
        <f aca="false">((YEAR(F24)-YEAR(Assumptions!$C$8))*12+MONTH(F24)-MONTH(Assumptions!$C$8)+1)</f>
        <v>-6</v>
      </c>
      <c r="H24" s="132" t="s">
        <v>1618</v>
      </c>
      <c r="I24" s="115" t="n">
        <v>55</v>
      </c>
      <c r="J24" s="115" t="n">
        <v>10</v>
      </c>
      <c r="K24" s="134" t="n">
        <v>48</v>
      </c>
      <c r="L24" s="134" t="n">
        <v>65</v>
      </c>
      <c r="M24" s="135" t="n">
        <v>0.003</v>
      </c>
      <c r="N24" s="136" t="n">
        <v>30</v>
      </c>
      <c r="O24" s="132" t="s">
        <v>1623</v>
      </c>
      <c r="P24" s="137" t="n">
        <v>0.94</v>
      </c>
      <c r="Q24" s="137" t="n">
        <v>0.86</v>
      </c>
      <c r="R24" s="137" t="n">
        <v>0.97</v>
      </c>
      <c r="S24" s="79" t="n">
        <f aca="false">CHOOSE(Assumptions!$C$11,P24,Q24,R24)</f>
        <v>0.94</v>
      </c>
      <c r="T24" s="84" t="n">
        <f aca="false">G24</f>
        <v>-6</v>
      </c>
      <c r="U24" s="138" t="str">
        <f aca="false">TEXT(F24,"mmmm")</f>
        <v>June</v>
      </c>
      <c r="V24" s="139" t="n">
        <f aca="false">EOMONTH(F24,Assumptions!$C$90*(INT((Assumptions!$C$10-T24)/Assumptions!$C$90)+1))</f>
        <v>46934</v>
      </c>
      <c r="W24" s="76" t="n">
        <f aca="false">IF(G24&gt;=-11,I24*Assumptions!$C$92,0)</f>
        <v>2475</v>
      </c>
      <c r="X24" s="76" t="n">
        <f aca="false">W24*IF(H24="Pipeline",S24,1)</f>
        <v>2475</v>
      </c>
      <c r="Y24" s="67" t="n">
        <f aca="false">INDEX(Contracts!$E$26:$AB$26,Assumptions!$C$10)</f>
        <v>56</v>
      </c>
      <c r="Z24" s="67" t="n">
        <f aca="false">INDEX(Contracts!$E$64:$AB$64,Assumptions!$C$10)</f>
        <v>10</v>
      </c>
      <c r="AA24" s="67" t="n">
        <f aca="false">INDEX(Contracts!$E$140:$AB$140,Assumptions!$C$10)</f>
        <v>3424.79</v>
      </c>
      <c r="AB24" s="67" t="n">
        <f aca="false">SUM(Contracts!$E$140:$P$140)+IF(SUM(Contracts!$E$161:$P$161)=0,0,Licences!$C$9*SUM(Contracts!$E$26:$P$26)/SUM(Contracts!$E$161:$P$161))</f>
        <v>52171.8098511417</v>
      </c>
      <c r="AC24" s="67" t="n">
        <f aca="false">SUM(Contracts!$Q$140:$AB$140)+IF(SUM(Contracts!$Q$161:$AB$161)=0,0,Licences!$D$9*SUM(Contracts!$Q$26:$AB$26)/SUM(Contracts!$Q$161:$AB$161))</f>
        <v>55475.7282145339</v>
      </c>
      <c r="AD24" s="64" t="n">
        <f aca="false">IF($AB$44=0,0,AB24/$AB$44)</f>
        <v>0.0143466053213858</v>
      </c>
      <c r="AE24" s="67" t="n">
        <f aca="false">IF((SUM(Contracts!$E$161:$P$161)*(Assumptions!$C$97*Assumptions!$C$107+Assumptions!$C$109)+SUM(Contracts!$E$162:$P$162)*(Assumptions!$C$98*Assumptions!$C$107+Assumptions!$C$108))=0,0,People!$C$102*(SUM(Contracts!$E$26:$P$26)*(Assumptions!$C$97*Assumptions!$C$107+Assumptions!$C$109)+SUM(Contracts!$E$64:$P$64)*(Assumptions!$C$98*Assumptions!$C$107+Assumptions!$C$108))/(SUM(Contracts!$E$161:$P$161)*(Assumptions!$C$97*Assumptions!$C$107+Assumptions!$C$109)+SUM(Contracts!$E$162:$P$162)*(Assumptions!$C$98*Assumptions!$C$107+Assumptions!$C$108)))+IF((SUM(Contracts!$E$161:$P$161)*Assumptions!$C$147+SUM(Contracts!$E$162:$P$162))=0,0,Overheads!$C$23*(SUM(Contracts!$E$26:$P$26)*Assumptions!$C$147+SUM(Contracts!$E$64:$P$64))/(SUM(Contracts!$E$161:$P$161)*Assumptions!$C$147+SUM(Contracts!$E$162:$P$162)))+IF(SUM(Contracts!$E$161:$P$161)=0,0,(Licences!$C$10-Rebates!$C$18)*SUM(Contracts!$E$26:$P$26)/SUM(Contracts!$E$161:$P$161))+IF(SUM(Contracts!$E$162:$P$162)=0,0,(Overheads!$C$24+Overheads!$C$25)*SUM(Contracts!$E$64:$P$64)/SUM(Contracts!$E$162:$P$162))</f>
        <v>28594.5345148318</v>
      </c>
      <c r="AF24" s="67" t="n">
        <f aca="false">AB24-AE24</f>
        <v>23577.2753363099</v>
      </c>
      <c r="AG24" s="64" t="n">
        <f aca="false">IF(AB24=0,0,AF24/AB24)</f>
        <v>0.451915994549189</v>
      </c>
      <c r="AH24" s="140"/>
    </row>
    <row r="25" customFormat="false" ht="15" hidden="false" customHeight="false" outlineLevel="0" collapsed="false">
      <c r="A25" s="132" t="s">
        <v>831</v>
      </c>
      <c r="B25" s="132" t="s">
        <v>1344</v>
      </c>
      <c r="C25" s="132" t="s">
        <v>1616</v>
      </c>
      <c r="D25" s="132" t="s">
        <v>1639</v>
      </c>
      <c r="E25" s="79" t="n">
        <f aca="false">IF(C25="PT",Assumptions!$C$18,0)</f>
        <v>0.23</v>
      </c>
      <c r="F25" s="133" t="n">
        <v>44985</v>
      </c>
      <c r="G25" s="84" t="n">
        <f aca="false">((YEAR(F25)-YEAR(Assumptions!$C$8))*12+MONTH(F25)-MONTH(Assumptions!$C$8)+1)</f>
        <v>-34</v>
      </c>
      <c r="H25" s="132" t="s">
        <v>1618</v>
      </c>
      <c r="I25" s="115" t="n">
        <v>145</v>
      </c>
      <c r="J25" s="115" t="n">
        <v>38</v>
      </c>
      <c r="K25" s="134" t="n">
        <v>38</v>
      </c>
      <c r="L25" s="134" t="n">
        <v>60</v>
      </c>
      <c r="M25" s="135" t="n">
        <v>0.002</v>
      </c>
      <c r="N25" s="136" t="n">
        <v>60</v>
      </c>
      <c r="O25" s="132" t="s">
        <v>1623</v>
      </c>
      <c r="P25" s="137" t="n">
        <v>0.92</v>
      </c>
      <c r="Q25" s="137" t="n">
        <v>0.82</v>
      </c>
      <c r="R25" s="137" t="n">
        <v>0.95</v>
      </c>
      <c r="S25" s="79" t="n">
        <f aca="false">CHOOSE(Assumptions!$C$11,P25,Q25,R25)</f>
        <v>0.92</v>
      </c>
      <c r="T25" s="84" t="n">
        <f aca="false">G25</f>
        <v>-34</v>
      </c>
      <c r="U25" s="138" t="str">
        <f aca="false">TEXT(F25,"mmmm")</f>
        <v>February</v>
      </c>
      <c r="V25" s="139" t="n">
        <f aca="false">EOMONTH(F25,Assumptions!$C$90*(INT((Assumptions!$C$10-T25)/Assumptions!$C$90)+1))</f>
        <v>47177</v>
      </c>
      <c r="W25" s="76" t="n">
        <f aca="false">IF(G25&gt;=-11,I25*Assumptions!$C$92,0)</f>
        <v>0</v>
      </c>
      <c r="X25" s="76" t="n">
        <f aca="false">W25*IF(H25="Pipeline",S25,1)</f>
        <v>0</v>
      </c>
      <c r="Y25" s="67" t="n">
        <f aca="false">INDEX(Contracts!$E$27:$AB$27,Assumptions!$C$10)</f>
        <v>147</v>
      </c>
      <c r="Z25" s="67" t="n">
        <f aca="false">INDEX(Contracts!$E$65:$AB$65,Assumptions!$C$10)</f>
        <v>38</v>
      </c>
      <c r="AA25" s="67" t="n">
        <f aca="false">INDEX(Contracts!$E$141:$AB$141,Assumptions!$C$10)</f>
        <v>8070.52</v>
      </c>
      <c r="AB25" s="67" t="n">
        <f aca="false">SUM(Contracts!$E$141:$P$141)+IF(SUM(Contracts!$E$161:$P$161)=0,0,Licences!$C$9*SUM(Contracts!$E$27:$P$27)/SUM(Contracts!$E$161:$P$161))</f>
        <v>127015.88865538</v>
      </c>
      <c r="AC25" s="67" t="n">
        <f aca="false">SUM(Contracts!$Q$141:$AB$141)+IF(SUM(Contracts!$Q$161:$AB$161)=0,0,Licences!$D$9*SUM(Contracts!$Q$27:$AB$27)/SUM(Contracts!$Q$161:$AB$161))</f>
        <v>133647.987875723</v>
      </c>
      <c r="AD25" s="64" t="n">
        <f aca="false">IF($AB$44=0,0,AB25/$AB$44)</f>
        <v>0.0349278054428839</v>
      </c>
      <c r="AE25" s="67" t="n">
        <f aca="false">IF((SUM(Contracts!$E$161:$P$161)*(Assumptions!$C$97*Assumptions!$C$107+Assumptions!$C$109)+SUM(Contracts!$E$162:$P$162)*(Assumptions!$C$98*Assumptions!$C$107+Assumptions!$C$108))=0,0,People!$C$102*(SUM(Contracts!$E$27:$P$27)*(Assumptions!$C$97*Assumptions!$C$107+Assumptions!$C$109)+SUM(Contracts!$E$65:$P$65)*(Assumptions!$C$98*Assumptions!$C$107+Assumptions!$C$108))/(SUM(Contracts!$E$161:$P$161)*(Assumptions!$C$97*Assumptions!$C$107+Assumptions!$C$109)+SUM(Contracts!$E$162:$P$162)*(Assumptions!$C$98*Assumptions!$C$107+Assumptions!$C$108)))+IF((SUM(Contracts!$E$161:$P$161)*Assumptions!$C$147+SUM(Contracts!$E$162:$P$162))=0,0,Overheads!$C$23*(SUM(Contracts!$E$27:$P$27)*Assumptions!$C$147+SUM(Contracts!$E$65:$P$65))/(SUM(Contracts!$E$161:$P$161)*Assumptions!$C$147+SUM(Contracts!$E$162:$P$162)))+IF(SUM(Contracts!$E$161:$P$161)=0,0,(Licences!$C$10-Rebates!$C$18)*SUM(Contracts!$E$27:$P$27)/SUM(Contracts!$E$161:$P$161))+IF(SUM(Contracts!$E$162:$P$162)=0,0,(Overheads!$C$24+Overheads!$C$25)*SUM(Contracts!$E$65:$P$65)/SUM(Contracts!$E$162:$P$162))</f>
        <v>82146.9833606951</v>
      </c>
      <c r="AF25" s="67" t="n">
        <f aca="false">AB25-AE25</f>
        <v>44868.9052946845</v>
      </c>
      <c r="AG25" s="64" t="n">
        <f aca="false">IF(AB25=0,0,AF25/AB25)</f>
        <v>0.353254272120421</v>
      </c>
      <c r="AH25" s="140"/>
    </row>
    <row r="26" customFormat="false" ht="15" hidden="false" customHeight="false" outlineLevel="0" collapsed="false">
      <c r="A26" s="132" t="s">
        <v>832</v>
      </c>
      <c r="B26" s="132" t="s">
        <v>1372</v>
      </c>
      <c r="C26" s="132" t="s">
        <v>1616</v>
      </c>
      <c r="D26" s="132" t="s">
        <v>1640</v>
      </c>
      <c r="E26" s="79" t="n">
        <f aca="false">IF(C26="PT",Assumptions!$C$18,0)</f>
        <v>0.23</v>
      </c>
      <c r="F26" s="133" t="n">
        <v>45322</v>
      </c>
      <c r="G26" s="84" t="n">
        <f aca="false">((YEAR(F26)-YEAR(Assumptions!$C$8))*12+MONTH(F26)-MONTH(Assumptions!$C$8)+1)</f>
        <v>-23</v>
      </c>
      <c r="H26" s="132" t="s">
        <v>1618</v>
      </c>
      <c r="I26" s="115" t="n">
        <v>125</v>
      </c>
      <c r="J26" s="115" t="n">
        <v>40</v>
      </c>
      <c r="K26" s="134" t="n">
        <v>39</v>
      </c>
      <c r="L26" s="134" t="n">
        <v>58</v>
      </c>
      <c r="M26" s="135" t="n">
        <v>0.002</v>
      </c>
      <c r="N26" s="136" t="n">
        <v>45</v>
      </c>
      <c r="O26" s="132" t="s">
        <v>1623</v>
      </c>
      <c r="P26" s="137" t="n">
        <v>0.93</v>
      </c>
      <c r="Q26" s="137" t="n">
        <v>0.84</v>
      </c>
      <c r="R26" s="137" t="n">
        <v>0.96</v>
      </c>
      <c r="S26" s="79" t="n">
        <f aca="false">CHOOSE(Assumptions!$C$11,P26,Q26,R26)</f>
        <v>0.93</v>
      </c>
      <c r="T26" s="84" t="n">
        <f aca="false">G26</f>
        <v>-23</v>
      </c>
      <c r="U26" s="138" t="str">
        <f aca="false">TEXT(F26,"mmmm")</f>
        <v>January</v>
      </c>
      <c r="V26" s="139" t="n">
        <f aca="false">EOMONTH(F26,Assumptions!$C$90*(INT((Assumptions!$C$10-T26)/Assumptions!$C$90)+1))</f>
        <v>46418</v>
      </c>
      <c r="W26" s="76" t="n">
        <f aca="false">IF(G26&gt;=-11,I26*Assumptions!$C$92,0)</f>
        <v>0</v>
      </c>
      <c r="X26" s="76" t="n">
        <f aca="false">W26*IF(H26="Pipeline",S26,1)</f>
        <v>0</v>
      </c>
      <c r="Y26" s="67" t="n">
        <f aca="false">INDEX(Contracts!$E$28:$AB$28,Assumptions!$C$10)</f>
        <v>128</v>
      </c>
      <c r="Z26" s="67" t="n">
        <f aca="false">INDEX(Contracts!$E$66:$AB$66,Assumptions!$C$10)</f>
        <v>40</v>
      </c>
      <c r="AA26" s="67" t="n">
        <f aca="false">INDEX(Contracts!$E$142:$AB$142,Assumptions!$C$10)</f>
        <v>7502.11</v>
      </c>
      <c r="AB26" s="67" t="n">
        <f aca="false">SUM(Contracts!$E$142:$P$142)+IF(SUM(Contracts!$E$161:$P$161)=0,0,Licences!$C$9*SUM(Contracts!$E$28:$P$28)/SUM(Contracts!$E$161:$P$161))</f>
        <v>116394.766743673</v>
      </c>
      <c r="AC26" s="67" t="n">
        <f aca="false">SUM(Contracts!$Q$142:$AB$142)+IF(SUM(Contracts!$Q$161:$AB$161)=0,0,Licences!$D$9*SUM(Contracts!$Q$28:$AB$28)/SUM(Contracts!$Q$161:$AB$161))</f>
        <v>113955.842675174</v>
      </c>
      <c r="AD26" s="64" t="n">
        <f aca="false">IF($AB$44=0,0,AB26/$AB$44)</f>
        <v>0.0320071276942616</v>
      </c>
      <c r="AE26" s="67" t="n">
        <f aca="false">IF((SUM(Contracts!$E$161:$P$161)*(Assumptions!$C$97*Assumptions!$C$107+Assumptions!$C$109)+SUM(Contracts!$E$162:$P$162)*(Assumptions!$C$98*Assumptions!$C$107+Assumptions!$C$108))=0,0,People!$C$102*(SUM(Contracts!$E$28:$P$28)*(Assumptions!$C$97*Assumptions!$C$107+Assumptions!$C$109)+SUM(Contracts!$E$66:$P$66)*(Assumptions!$C$98*Assumptions!$C$107+Assumptions!$C$108))/(SUM(Contracts!$E$161:$P$161)*(Assumptions!$C$97*Assumptions!$C$107+Assumptions!$C$109)+SUM(Contracts!$E$162:$P$162)*(Assumptions!$C$98*Assumptions!$C$107+Assumptions!$C$108)))+IF((SUM(Contracts!$E$161:$P$161)*Assumptions!$C$147+SUM(Contracts!$E$162:$P$162))=0,0,Overheads!$C$23*(SUM(Contracts!$E$28:$P$28)*Assumptions!$C$147+SUM(Contracts!$E$66:$P$66))/(SUM(Contracts!$E$161:$P$161)*Assumptions!$C$147+SUM(Contracts!$E$162:$P$162)))+IF(SUM(Contracts!$E$161:$P$161)=0,0,(Licences!$C$10-Rebates!$C$18)*SUM(Contracts!$E$28:$P$28)/SUM(Contracts!$E$161:$P$161))+IF(SUM(Contracts!$E$162:$P$162)=0,0,(Overheads!$C$24+Overheads!$C$25)*SUM(Contracts!$E$66:$P$66)/SUM(Contracts!$E$162:$P$162))</f>
        <v>75625.0648891768</v>
      </c>
      <c r="AF26" s="67" t="n">
        <f aca="false">AB26-AE26</f>
        <v>40769.701854496</v>
      </c>
      <c r="AG26" s="64" t="n">
        <f aca="false">IF(AB26=0,0,AF26/AB26)</f>
        <v>0.350270918487942</v>
      </c>
      <c r="AH26" s="140"/>
    </row>
    <row r="27" customFormat="false" ht="15" hidden="false" customHeight="false" outlineLevel="0" collapsed="false">
      <c r="A27" s="132" t="s">
        <v>833</v>
      </c>
      <c r="B27" s="132" t="s">
        <v>1373</v>
      </c>
      <c r="C27" s="132" t="s">
        <v>1616</v>
      </c>
      <c r="D27" s="132" t="s">
        <v>1641</v>
      </c>
      <c r="E27" s="79" t="n">
        <f aca="false">IF(C27="PT",Assumptions!$C$18,0)</f>
        <v>0.23</v>
      </c>
      <c r="F27" s="133" t="n">
        <v>44773</v>
      </c>
      <c r="G27" s="84" t="n">
        <f aca="false">((YEAR(F27)-YEAR(Assumptions!$C$8))*12+MONTH(F27)-MONTH(Assumptions!$C$8)+1)</f>
        <v>-41</v>
      </c>
      <c r="H27" s="132" t="s">
        <v>1618</v>
      </c>
      <c r="I27" s="115" t="n">
        <v>65</v>
      </c>
      <c r="J27" s="115" t="n">
        <v>24</v>
      </c>
      <c r="K27" s="134" t="n">
        <v>42</v>
      </c>
      <c r="L27" s="134" t="n">
        <v>60</v>
      </c>
      <c r="M27" s="135" t="n">
        <v>0</v>
      </c>
      <c r="N27" s="136" t="n">
        <v>45</v>
      </c>
      <c r="O27" s="132" t="s">
        <v>1623</v>
      </c>
      <c r="P27" s="137" t="n">
        <v>0.92</v>
      </c>
      <c r="Q27" s="137" t="n">
        <v>0.82</v>
      </c>
      <c r="R27" s="137" t="n">
        <v>0.95</v>
      </c>
      <c r="S27" s="79" t="n">
        <f aca="false">CHOOSE(Assumptions!$C$11,P27,Q27,R27)</f>
        <v>0.92</v>
      </c>
      <c r="T27" s="84" t="n">
        <f aca="false">G27</f>
        <v>-41</v>
      </c>
      <c r="U27" s="138" t="str">
        <f aca="false">TEXT(F27,"mmmm")</f>
        <v>July</v>
      </c>
      <c r="V27" s="139" t="n">
        <f aca="false">EOMONTH(F27,Assumptions!$C$90*(INT((Assumptions!$C$10-T27)/Assumptions!$C$90)+1))</f>
        <v>46965</v>
      </c>
      <c r="W27" s="76" t="n">
        <f aca="false">IF(G27&gt;=-11,I27*Assumptions!$C$92,0)</f>
        <v>0</v>
      </c>
      <c r="X27" s="76" t="n">
        <f aca="false">W27*IF(H27="Pipeline",S27,1)</f>
        <v>0</v>
      </c>
      <c r="Y27" s="67" t="n">
        <f aca="false">INDEX(Contracts!$E$29:$AB$29,Assumptions!$C$10)</f>
        <v>65</v>
      </c>
      <c r="Z27" s="67" t="n">
        <f aca="false">INDEX(Contracts!$E$67:$AB$67,Assumptions!$C$10)</f>
        <v>24</v>
      </c>
      <c r="AA27" s="67" t="n">
        <f aca="false">INDEX(Contracts!$E$143:$AB$143,Assumptions!$C$10)</f>
        <v>4278.42</v>
      </c>
      <c r="AB27" s="67" t="n">
        <f aca="false">SUM(Contracts!$E$143:$P$143)+IF(SUM(Contracts!$E$161:$P$161)=0,0,Licences!$C$9*SUM(Contracts!$E$29:$P$29)/SUM(Contracts!$E$161:$P$161))</f>
        <v>64286.0316063165</v>
      </c>
      <c r="AC27" s="67" t="n">
        <f aca="false">SUM(Contracts!$Q$143:$AB$143)+IF(SUM(Contracts!$Q$161:$AB$161)=0,0,Licences!$D$9*SUM(Contracts!$Q$29:$AB$29)/SUM(Contracts!$Q$161:$AB$161))</f>
        <v>66110.4006</v>
      </c>
      <c r="AD27" s="64" t="n">
        <f aca="false">IF($AB$44=0,0,AB27/$AB$44)</f>
        <v>0.0176778671425325</v>
      </c>
      <c r="AE27" s="67" t="n">
        <f aca="false">IF((SUM(Contracts!$E$161:$P$161)*(Assumptions!$C$97*Assumptions!$C$107+Assumptions!$C$109)+SUM(Contracts!$E$162:$P$162)*(Assumptions!$C$98*Assumptions!$C$107+Assumptions!$C$108))=0,0,People!$C$102*(SUM(Contracts!$E$29:$P$29)*(Assumptions!$C$97*Assumptions!$C$107+Assumptions!$C$109)+SUM(Contracts!$E$67:$P$67)*(Assumptions!$C$98*Assumptions!$C$107+Assumptions!$C$108))/(SUM(Contracts!$E$161:$P$161)*(Assumptions!$C$97*Assumptions!$C$107+Assumptions!$C$109)+SUM(Contracts!$E$162:$P$162)*(Assumptions!$C$98*Assumptions!$C$107+Assumptions!$C$108)))+IF((SUM(Contracts!$E$161:$P$161)*Assumptions!$C$147+SUM(Contracts!$E$162:$P$162))=0,0,Overheads!$C$23*(SUM(Contracts!$E$29:$P$29)*Assumptions!$C$147+SUM(Contracts!$E$67:$P$67))/(SUM(Contracts!$E$161:$P$161)*Assumptions!$C$147+SUM(Contracts!$E$162:$P$162)))+IF(SUM(Contracts!$E$161:$P$161)=0,0,(Licences!$C$10-Rebates!$C$18)*SUM(Contracts!$E$29:$P$29)/SUM(Contracts!$E$161:$P$161))+IF(SUM(Contracts!$E$162:$P$162)=0,0,(Overheads!$C$24+Overheads!$C$25)*SUM(Contracts!$E$67:$P$67)/SUM(Contracts!$E$162:$P$162))</f>
        <v>40727.4759235051</v>
      </c>
      <c r="AF27" s="67" t="n">
        <f aca="false">AB27-AE27</f>
        <v>23558.5556828114</v>
      </c>
      <c r="AG27" s="64" t="n">
        <f aca="false">IF(AB27=0,0,AF27/AB27)</f>
        <v>0.366464612827285</v>
      </c>
      <c r="AH27" s="140"/>
    </row>
    <row r="28" customFormat="false" ht="15" hidden="false" customHeight="false" outlineLevel="0" collapsed="false">
      <c r="A28" s="132" t="s">
        <v>834</v>
      </c>
      <c r="B28" s="132" t="s">
        <v>1369</v>
      </c>
      <c r="C28" s="132" t="s">
        <v>1616</v>
      </c>
      <c r="D28" s="132" t="s">
        <v>1642</v>
      </c>
      <c r="E28" s="79" t="n">
        <f aca="false">IF(C28="PT",Assumptions!$C$18,0)</f>
        <v>0.23</v>
      </c>
      <c r="F28" s="133" t="n">
        <v>45626</v>
      </c>
      <c r="G28" s="84" t="n">
        <f aca="false">((YEAR(F28)-YEAR(Assumptions!$C$8))*12+MONTH(F28)-MONTH(Assumptions!$C$8)+1)</f>
        <v>-13</v>
      </c>
      <c r="H28" s="132" t="s">
        <v>1618</v>
      </c>
      <c r="I28" s="115" t="n">
        <v>95</v>
      </c>
      <c r="J28" s="115" t="n">
        <v>50</v>
      </c>
      <c r="K28" s="134" t="n">
        <v>37</v>
      </c>
      <c r="L28" s="134" t="n">
        <v>44</v>
      </c>
      <c r="M28" s="135" t="n">
        <v>0.003</v>
      </c>
      <c r="N28" s="136" t="n">
        <v>30</v>
      </c>
      <c r="O28" s="132" t="s">
        <v>1623</v>
      </c>
      <c r="P28" s="137" t="n">
        <v>0.94</v>
      </c>
      <c r="Q28" s="137" t="n">
        <v>0.86</v>
      </c>
      <c r="R28" s="137" t="n">
        <v>0.97</v>
      </c>
      <c r="S28" s="79" t="n">
        <f aca="false">CHOOSE(Assumptions!$C$11,P28,Q28,R28)</f>
        <v>0.94</v>
      </c>
      <c r="T28" s="84" t="n">
        <f aca="false">G28</f>
        <v>-13</v>
      </c>
      <c r="U28" s="138" t="str">
        <f aca="false">TEXT(F28,"mmmm")</f>
        <v>November</v>
      </c>
      <c r="V28" s="139" t="n">
        <f aca="false">EOMONTH(F28,Assumptions!$C$90*(INT((Assumptions!$C$10-T28)/Assumptions!$C$90)+1))</f>
        <v>46721</v>
      </c>
      <c r="W28" s="76" t="n">
        <f aca="false">IF(G28&gt;=-11,I28*Assumptions!$C$92,0)</f>
        <v>0</v>
      </c>
      <c r="X28" s="76" t="n">
        <f aca="false">W28*IF(H28="Pipeline",S28,1)</f>
        <v>0</v>
      </c>
      <c r="Y28" s="67" t="n">
        <f aca="false">INDEX(Contracts!$E$30:$AB$30,Assumptions!$C$10)</f>
        <v>97</v>
      </c>
      <c r="Z28" s="67" t="n">
        <f aca="false">INDEX(Contracts!$E$68:$AB$68,Assumptions!$C$10)</f>
        <v>51</v>
      </c>
      <c r="AA28" s="67" t="n">
        <f aca="false">INDEX(Contracts!$E$144:$AB$144,Assumptions!$C$10)</f>
        <v>5833</v>
      </c>
      <c r="AB28" s="67" t="n">
        <f aca="false">SUM(Contracts!$E$144:$P$144)+IF(SUM(Contracts!$E$161:$P$161)=0,0,Licences!$C$9*SUM(Contracts!$E$30:$P$30)/SUM(Contracts!$E$161:$P$161))</f>
        <v>90273.2117121458</v>
      </c>
      <c r="AC28" s="67" t="n">
        <f aca="false">SUM(Contracts!$Q$144:$AB$144)+IF(SUM(Contracts!$Q$161:$AB$161)=0,0,Licences!$D$9*SUM(Contracts!$Q$30:$AB$30)/SUM(Contracts!$Q$161:$AB$161))</f>
        <v>94900.3791935452</v>
      </c>
      <c r="AD28" s="64" t="n">
        <f aca="false">IF($AB$44=0,0,AB28/$AB$44)</f>
        <v>0.024824021693388</v>
      </c>
      <c r="AE28" s="67" t="n">
        <f aca="false">IF((SUM(Contracts!$E$161:$P$161)*(Assumptions!$C$97*Assumptions!$C$107+Assumptions!$C$109)+SUM(Contracts!$E$162:$P$162)*(Assumptions!$C$98*Assumptions!$C$107+Assumptions!$C$108))=0,0,People!$C$102*(SUM(Contracts!$E$30:$P$30)*(Assumptions!$C$97*Assumptions!$C$107+Assumptions!$C$109)+SUM(Contracts!$E$68:$P$68)*(Assumptions!$C$98*Assumptions!$C$107+Assumptions!$C$108))/(SUM(Contracts!$E$161:$P$161)*(Assumptions!$C$97*Assumptions!$C$107+Assumptions!$C$109)+SUM(Contracts!$E$162:$P$162)*(Assumptions!$C$98*Assumptions!$C$107+Assumptions!$C$108)))+IF((SUM(Contracts!$E$161:$P$161)*Assumptions!$C$147+SUM(Contracts!$E$162:$P$162))=0,0,Overheads!$C$23*(SUM(Contracts!$E$30:$P$30)*Assumptions!$C$147+SUM(Contracts!$E$68:$P$68))/(SUM(Contracts!$E$161:$P$161)*Assumptions!$C$147+SUM(Contracts!$E$162:$P$162)))+IF(SUM(Contracts!$E$161:$P$161)=0,0,(Licences!$C$10-Rebates!$C$18)*SUM(Contracts!$E$30:$P$30)/SUM(Contracts!$E$161:$P$161))+IF(SUM(Contracts!$E$162:$P$162)=0,0,(Overheads!$C$24+Overheads!$C$25)*SUM(Contracts!$E$68:$P$68)/SUM(Contracts!$E$162:$P$162))</f>
        <v>69565.3519620839</v>
      </c>
      <c r="AF28" s="67" t="n">
        <f aca="false">AB28-AE28</f>
        <v>20707.8597500619</v>
      </c>
      <c r="AG28" s="64" t="n">
        <f aca="false">IF(AB28=0,0,AF28/AB28)</f>
        <v>0.229390971666025</v>
      </c>
      <c r="AH28" s="140"/>
    </row>
    <row r="29" customFormat="false" ht="15" hidden="false" customHeight="false" outlineLevel="0" collapsed="false">
      <c r="A29" s="132" t="s">
        <v>835</v>
      </c>
      <c r="B29" s="132" t="s">
        <v>1367</v>
      </c>
      <c r="C29" s="132" t="s">
        <v>1616</v>
      </c>
      <c r="D29" s="132" t="s">
        <v>1643</v>
      </c>
      <c r="E29" s="79" t="n">
        <f aca="false">IF(C29="PT",Assumptions!$C$18,0)</f>
        <v>0.23</v>
      </c>
      <c r="F29" s="133" t="n">
        <v>45930</v>
      </c>
      <c r="G29" s="84" t="n">
        <f aca="false">((YEAR(F29)-YEAR(Assumptions!$C$8))*12+MONTH(F29)-MONTH(Assumptions!$C$8)+1)</f>
        <v>-3</v>
      </c>
      <c r="H29" s="132" t="s">
        <v>1618</v>
      </c>
      <c r="I29" s="115" t="n">
        <v>40</v>
      </c>
      <c r="J29" s="115" t="n">
        <v>9</v>
      </c>
      <c r="K29" s="134" t="n">
        <v>52</v>
      </c>
      <c r="L29" s="134" t="n">
        <v>72</v>
      </c>
      <c r="M29" s="135" t="n">
        <v>0.003</v>
      </c>
      <c r="N29" s="136" t="n">
        <v>30</v>
      </c>
      <c r="O29" s="132" t="s">
        <v>1623</v>
      </c>
      <c r="P29" s="137" t="n">
        <v>0.94</v>
      </c>
      <c r="Q29" s="137" t="n">
        <v>0.86</v>
      </c>
      <c r="R29" s="137" t="n">
        <v>0.97</v>
      </c>
      <c r="S29" s="79" t="n">
        <f aca="false">CHOOSE(Assumptions!$C$11,P29,Q29,R29)</f>
        <v>0.94</v>
      </c>
      <c r="T29" s="84" t="n">
        <f aca="false">G29</f>
        <v>-3</v>
      </c>
      <c r="U29" s="138" t="str">
        <f aca="false">TEXT(F29,"mmmm")</f>
        <v>September</v>
      </c>
      <c r="V29" s="139" t="n">
        <f aca="false">EOMONTH(F29,Assumptions!$C$90*(INT((Assumptions!$C$10-T29)/Assumptions!$C$90)+1))</f>
        <v>47026</v>
      </c>
      <c r="W29" s="76" t="n">
        <f aca="false">IF(G29&gt;=-11,I29*Assumptions!$C$92,0)</f>
        <v>1800</v>
      </c>
      <c r="X29" s="76" t="n">
        <f aca="false">W29*IF(H29="Pipeline",S29,1)</f>
        <v>1800</v>
      </c>
      <c r="Y29" s="67" t="n">
        <f aca="false">INDEX(Contracts!$E$31:$AB$31,Assumptions!$C$10)</f>
        <v>41</v>
      </c>
      <c r="Z29" s="67" t="n">
        <f aca="false">INDEX(Contracts!$E$69:$AB$69,Assumptions!$C$10)</f>
        <v>9</v>
      </c>
      <c r="AA29" s="67" t="n">
        <f aca="false">INDEX(Contracts!$E$145:$AB$145,Assumptions!$C$10)</f>
        <v>2780</v>
      </c>
      <c r="AB29" s="67" t="n">
        <f aca="false">SUM(Contracts!$E$145:$P$145)+IF(SUM(Contracts!$E$161:$P$161)=0,0,Licences!$C$9*SUM(Contracts!$E$31:$P$31)/SUM(Contracts!$E$161:$P$161))</f>
        <v>42158.5468200305</v>
      </c>
      <c r="AC29" s="67" t="n">
        <f aca="false">SUM(Contracts!$Q$145:$AB$145)+IF(SUM(Contracts!$Q$161:$AB$161)=0,0,Licences!$D$9*SUM(Contracts!$Q$31:$AB$31)/SUM(Contracts!$Q$161:$AB$161))</f>
        <v>44801.4135355066</v>
      </c>
      <c r="AD29" s="64" t="n">
        <f aca="false">IF($AB$44=0,0,AB29/$AB$44)</f>
        <v>0.0115930812804054</v>
      </c>
      <c r="AE29" s="67" t="n">
        <f aca="false">IF((SUM(Contracts!$E$161:$P$161)*(Assumptions!$C$97*Assumptions!$C$107+Assumptions!$C$109)+SUM(Contracts!$E$162:$P$162)*(Assumptions!$C$98*Assumptions!$C$107+Assumptions!$C$108))=0,0,People!$C$102*(SUM(Contracts!$E$31:$P$31)*(Assumptions!$C$97*Assumptions!$C$107+Assumptions!$C$109)+SUM(Contracts!$E$69:$P$69)*(Assumptions!$C$98*Assumptions!$C$107+Assumptions!$C$108))/(SUM(Contracts!$E$161:$P$161)*(Assumptions!$C$97*Assumptions!$C$107+Assumptions!$C$109)+SUM(Contracts!$E$162:$P$162)*(Assumptions!$C$98*Assumptions!$C$107+Assumptions!$C$108)))+IF((SUM(Contracts!$E$161:$P$161)*Assumptions!$C$147+SUM(Contracts!$E$162:$P$162))=0,0,Overheads!$C$23*(SUM(Contracts!$E$31:$P$31)*Assumptions!$C$147+SUM(Contracts!$E$69:$P$69))/(SUM(Contracts!$E$161:$P$161)*Assumptions!$C$147+SUM(Contracts!$E$162:$P$162)))+IF(SUM(Contracts!$E$161:$P$161)=0,0,(Licences!$C$10-Rebates!$C$18)*SUM(Contracts!$E$31:$P$31)/SUM(Contracts!$E$161:$P$161))+IF(SUM(Contracts!$E$162:$P$162)=0,0,(Overheads!$C$24+Overheads!$C$25)*SUM(Contracts!$E$69:$P$69)/SUM(Contracts!$E$162:$P$162))</f>
        <v>21963.3513185028</v>
      </c>
      <c r="AF29" s="67" t="n">
        <f aca="false">AB29-AE29</f>
        <v>20195.1955015277</v>
      </c>
      <c r="AG29" s="64" t="n">
        <f aca="false">IF(AB29=0,0,AF29/AB29)</f>
        <v>0.47902968733098</v>
      </c>
      <c r="AH29" s="140"/>
    </row>
    <row r="30" customFormat="false" ht="23.85" hidden="false" customHeight="false" outlineLevel="0" collapsed="false">
      <c r="A30" s="132" t="s">
        <v>836</v>
      </c>
      <c r="B30" s="132" t="s">
        <v>1644</v>
      </c>
      <c r="C30" s="132" t="s">
        <v>1616</v>
      </c>
      <c r="D30" s="132" t="s">
        <v>1645</v>
      </c>
      <c r="E30" s="79" t="n">
        <f aca="false">IF(C30="PT",Assumptions!$C$18,0)</f>
        <v>0.23</v>
      </c>
      <c r="F30" s="133" t="n">
        <v>45077</v>
      </c>
      <c r="G30" s="84" t="n">
        <f aca="false">((YEAR(F30)-YEAR(Assumptions!$C$8))*12+MONTH(F30)-MONTH(Assumptions!$C$8)+1)</f>
        <v>-31</v>
      </c>
      <c r="H30" s="132" t="s">
        <v>1646</v>
      </c>
      <c r="I30" s="115" t="n">
        <v>150</v>
      </c>
      <c r="J30" s="115" t="n">
        <v>40</v>
      </c>
      <c r="K30" s="134" t="n">
        <v>39</v>
      </c>
      <c r="L30" s="134" t="n">
        <v>60</v>
      </c>
      <c r="M30" s="135" t="n">
        <v>0.001</v>
      </c>
      <c r="N30" s="136" t="n">
        <v>45</v>
      </c>
      <c r="O30" s="132" t="s">
        <v>1623</v>
      </c>
      <c r="P30" s="137" t="n">
        <v>0</v>
      </c>
      <c r="Q30" s="137" t="n">
        <v>0</v>
      </c>
      <c r="R30" s="137" t="n">
        <v>0</v>
      </c>
      <c r="S30" s="79" t="n">
        <f aca="false">CHOOSE(Assumptions!$C$11,P30,Q30,R30)</f>
        <v>0</v>
      </c>
      <c r="T30" s="84" t="n">
        <f aca="false">G30</f>
        <v>-31</v>
      </c>
      <c r="U30" s="138" t="str">
        <f aca="false">TEXT(F30,"mmmm")</f>
        <v>May</v>
      </c>
      <c r="V30" s="139" t="n">
        <f aca="false">EOMONTH(F30,Assumptions!$C$90*(INT((Assumptions!$C$10-T30)/Assumptions!$C$90)+1))</f>
        <v>47269</v>
      </c>
      <c r="W30" s="76" t="n">
        <f aca="false">IF(G30&gt;=-11,I30*Assumptions!$C$92,0)</f>
        <v>0</v>
      </c>
      <c r="X30" s="76" t="n">
        <f aca="false">W30*IF(H30="Pipeline",S30,1)</f>
        <v>0</v>
      </c>
      <c r="Y30" s="67" t="n">
        <f aca="false">INDEX(Contracts!$E$32:$AB$32,Assumptions!$C$10)</f>
        <v>0</v>
      </c>
      <c r="Z30" s="67" t="n">
        <f aca="false">INDEX(Contracts!$E$70:$AB$70,Assumptions!$C$10)</f>
        <v>0</v>
      </c>
      <c r="AA30" s="67" t="n">
        <f aca="false">INDEX(Contracts!$E$146:$AB$146,Assumptions!$C$10)</f>
        <v>0</v>
      </c>
      <c r="AB30" s="67" t="n">
        <f aca="false">SUM(Contracts!$E$146:$P$146)+IF(SUM(Contracts!$E$161:$P$161)=0,0,Licences!$C$9*SUM(Contracts!$E$32:$P$32)/SUM(Contracts!$E$161:$P$161))</f>
        <v>43570.9461371827</v>
      </c>
      <c r="AC30" s="67" t="n">
        <f aca="false">SUM(Contracts!$Q$146:$AB$146)+IF(SUM(Contracts!$Q$161:$AB$161)=0,0,Licences!$D$9*SUM(Contracts!$Q$32:$AB$32)/SUM(Contracts!$Q$161:$AB$161))</f>
        <v>0</v>
      </c>
      <c r="AD30" s="64" t="n">
        <f aca="false">IF($AB$44=0,0,AB30/$AB$44)</f>
        <v>0.0119814737018528</v>
      </c>
      <c r="AE30" s="67" t="n">
        <f aca="false">IF((SUM(Contracts!$E$161:$P$161)*(Assumptions!$C$97*Assumptions!$C$107+Assumptions!$C$109)+SUM(Contracts!$E$162:$P$162)*(Assumptions!$C$98*Assumptions!$C$107+Assumptions!$C$108))=0,0,People!$C$102*(SUM(Contracts!$E$32:$P$32)*(Assumptions!$C$97*Assumptions!$C$107+Assumptions!$C$109)+SUM(Contracts!$E$70:$P$70)*(Assumptions!$C$98*Assumptions!$C$107+Assumptions!$C$108))/(SUM(Contracts!$E$161:$P$161)*(Assumptions!$C$97*Assumptions!$C$107+Assumptions!$C$109)+SUM(Contracts!$E$162:$P$162)*(Assumptions!$C$98*Assumptions!$C$107+Assumptions!$C$108)))+IF((SUM(Contracts!$E$161:$P$161)*Assumptions!$C$147+SUM(Contracts!$E$162:$P$162))=0,0,Overheads!$C$23*(SUM(Contracts!$E$32:$P$32)*Assumptions!$C$147+SUM(Contracts!$E$70:$P$70))/(SUM(Contracts!$E$161:$P$161)*Assumptions!$C$147+SUM(Contracts!$E$162:$P$162)))+IF(SUM(Contracts!$E$161:$P$161)=0,0,(Licences!$C$10-Rebates!$C$18)*SUM(Contracts!$E$32:$P$32)/SUM(Contracts!$E$161:$P$161))+IF(SUM(Contracts!$E$162:$P$162)=0,0,(Overheads!$C$24+Overheads!$C$25)*SUM(Contracts!$E$70:$P$70)/SUM(Contracts!$E$162:$P$162))</f>
        <v>28327.655765324</v>
      </c>
      <c r="AF30" s="67" t="n">
        <f aca="false">AB30-AE30</f>
        <v>15243.2903718587</v>
      </c>
      <c r="AG30" s="64" t="n">
        <f aca="false">IF(AB30=0,0,AF30/AB30)</f>
        <v>0.349849882163801</v>
      </c>
      <c r="AH30" s="140" t="s">
        <v>1647</v>
      </c>
    </row>
    <row r="31" customFormat="false" ht="15" hidden="false" customHeight="false" outlineLevel="0" collapsed="false">
      <c r="A31" s="132" t="s">
        <v>837</v>
      </c>
      <c r="B31" s="132" t="s">
        <v>1384</v>
      </c>
      <c r="C31" s="132" t="s">
        <v>1648</v>
      </c>
      <c r="D31" s="132" t="s">
        <v>1649</v>
      </c>
      <c r="E31" s="79" t="n">
        <f aca="false">IF(C31="PT",Assumptions!$C$18,0)</f>
        <v>0</v>
      </c>
      <c r="F31" s="133" t="n">
        <v>45412</v>
      </c>
      <c r="G31" s="84" t="n">
        <f aca="false">((YEAR(F31)-YEAR(Assumptions!$C$8))*12+MONTH(F31)-MONTH(Assumptions!$C$8)+1)</f>
        <v>-20</v>
      </c>
      <c r="H31" s="132" t="s">
        <v>1618</v>
      </c>
      <c r="I31" s="115" t="n">
        <v>140</v>
      </c>
      <c r="J31" s="115" t="n">
        <v>45</v>
      </c>
      <c r="K31" s="134" t="n">
        <v>43</v>
      </c>
      <c r="L31" s="134" t="n">
        <v>64</v>
      </c>
      <c r="M31" s="135" t="n">
        <v>0.002</v>
      </c>
      <c r="N31" s="136" t="n">
        <v>60</v>
      </c>
      <c r="O31" s="132" t="s">
        <v>1619</v>
      </c>
      <c r="P31" s="137" t="n">
        <v>0.93</v>
      </c>
      <c r="Q31" s="137" t="n">
        <v>0.85</v>
      </c>
      <c r="R31" s="137" t="n">
        <v>0.96</v>
      </c>
      <c r="S31" s="79" t="n">
        <f aca="false">CHOOSE(Assumptions!$C$11,P31,Q31,R31)</f>
        <v>0.93</v>
      </c>
      <c r="T31" s="84" t="n">
        <f aca="false">G31</f>
        <v>-20</v>
      </c>
      <c r="U31" s="138" t="str">
        <f aca="false">TEXT(F31,"mmmm")</f>
        <v>April</v>
      </c>
      <c r="V31" s="139" t="n">
        <f aca="false">EOMONTH(F31,Assumptions!$C$90*(INT((Assumptions!$C$10-T31)/Assumptions!$C$90)+1))</f>
        <v>46507</v>
      </c>
      <c r="W31" s="76" t="n">
        <f aca="false">IF(G31&gt;=-11,I31*Assumptions!$C$92,0)</f>
        <v>0</v>
      </c>
      <c r="X31" s="76" t="n">
        <f aca="false">W31*IF(H31="Pipeline",S31,1)</f>
        <v>0</v>
      </c>
      <c r="Y31" s="67" t="n">
        <f aca="false">INDEX(Contracts!$E$33:$AB$33,Assumptions!$C$10)</f>
        <v>143</v>
      </c>
      <c r="Z31" s="67" t="n">
        <f aca="false">INDEX(Contracts!$E$71:$AB$71,Assumptions!$C$10)</f>
        <v>47</v>
      </c>
      <c r="AA31" s="67" t="n">
        <f aca="false">INDEX(Contracts!$E$147:$AB$147,Assumptions!$C$10)</f>
        <v>9395.08</v>
      </c>
      <c r="AB31" s="67" t="n">
        <f aca="false">SUM(Contracts!$E$147:$P$147)+IF(SUM(Contracts!$E$161:$P$161)=0,0,Licences!$C$9*SUM(Contracts!$E$33:$P$33)/SUM(Contracts!$E$161:$P$161))</f>
        <v>140895.256837697</v>
      </c>
      <c r="AC31" s="67" t="n">
        <f aca="false">SUM(Contracts!$Q$147:$AB$147)+IF(SUM(Contracts!$Q$161:$AB$161)=0,0,Licences!$D$9*SUM(Contracts!$Q$33:$AB$33)/SUM(Contracts!$Q$161:$AB$161))</f>
        <v>140902.6745828</v>
      </c>
      <c r="AD31" s="64" t="n">
        <f aca="false">IF($AB$44=0,0,AB31/$AB$44)</f>
        <v>0.0387444607973761</v>
      </c>
      <c r="AE31" s="67" t="n">
        <f aca="false">IF((SUM(Contracts!$E$161:$P$161)*(Assumptions!$C$97*Assumptions!$C$107+Assumptions!$C$109)+SUM(Contracts!$E$162:$P$162)*(Assumptions!$C$98*Assumptions!$C$107+Assumptions!$C$108))=0,0,People!$C$102*(SUM(Contracts!$E$33:$P$33)*(Assumptions!$C$97*Assumptions!$C$107+Assumptions!$C$109)+SUM(Contracts!$E$71:$P$71)*(Assumptions!$C$98*Assumptions!$C$107+Assumptions!$C$108))/(SUM(Contracts!$E$161:$P$161)*(Assumptions!$C$97*Assumptions!$C$107+Assumptions!$C$109)+SUM(Contracts!$E$162:$P$162)*(Assumptions!$C$98*Assumptions!$C$107+Assumptions!$C$108)))+IF((SUM(Contracts!$E$161:$P$161)*Assumptions!$C$147+SUM(Contracts!$E$162:$P$162))=0,0,Overheads!$C$23*(SUM(Contracts!$E$33:$P$33)*Assumptions!$C$147+SUM(Contracts!$E$71:$P$71))/(SUM(Contracts!$E$161:$P$161)*Assumptions!$C$147+SUM(Contracts!$E$162:$P$162)))+IF(SUM(Contracts!$E$161:$P$161)=0,0,(Licences!$C$10-Rebates!$C$18)*SUM(Contracts!$E$33:$P$33)/SUM(Contracts!$E$161:$P$161))+IF(SUM(Contracts!$E$162:$P$162)=0,0,(Overheads!$C$24+Overheads!$C$25)*SUM(Contracts!$E$71:$P$71)/SUM(Contracts!$E$162:$P$162))</f>
        <v>85445.4244864636</v>
      </c>
      <c r="AF31" s="67" t="n">
        <f aca="false">AB31-AE31</f>
        <v>55449.8323512338</v>
      </c>
      <c r="AG31" s="64" t="n">
        <f aca="false">IF(AB31=0,0,AF31/AB31)</f>
        <v>0.39355357728691</v>
      </c>
      <c r="AH31" s="140"/>
    </row>
    <row r="32" customFormat="false" ht="23.85" hidden="false" customHeight="false" outlineLevel="0" collapsed="false">
      <c r="A32" s="132" t="s">
        <v>838</v>
      </c>
      <c r="B32" s="132" t="s">
        <v>1377</v>
      </c>
      <c r="C32" s="132" t="s">
        <v>1648</v>
      </c>
      <c r="D32" s="132" t="s">
        <v>1650</v>
      </c>
      <c r="E32" s="79" t="n">
        <f aca="false">IF(C32="PT",Assumptions!$C$18,0)</f>
        <v>0</v>
      </c>
      <c r="F32" s="133" t="n">
        <v>45169</v>
      </c>
      <c r="G32" s="84" t="n">
        <f aca="false">((YEAR(F32)-YEAR(Assumptions!$C$8))*12+MONTH(F32)-MONTH(Assumptions!$C$8)+1)</f>
        <v>-28</v>
      </c>
      <c r="H32" s="132" t="s">
        <v>1618</v>
      </c>
      <c r="I32" s="115" t="n">
        <v>90</v>
      </c>
      <c r="J32" s="115" t="n">
        <v>34</v>
      </c>
      <c r="K32" s="134" t="n">
        <v>44</v>
      </c>
      <c r="L32" s="134" t="n">
        <v>66</v>
      </c>
      <c r="M32" s="135" t="n">
        <v>0.002</v>
      </c>
      <c r="N32" s="136" t="n">
        <v>60</v>
      </c>
      <c r="O32" s="132" t="s">
        <v>1623</v>
      </c>
      <c r="P32" s="137" t="n">
        <v>0.93</v>
      </c>
      <c r="Q32" s="137" t="n">
        <v>0.85</v>
      </c>
      <c r="R32" s="137" t="n">
        <v>0.96</v>
      </c>
      <c r="S32" s="79" t="n">
        <f aca="false">CHOOSE(Assumptions!$C$11,P32,Q32,R32)</f>
        <v>0.93</v>
      </c>
      <c r="T32" s="84" t="n">
        <f aca="false">G32</f>
        <v>-28</v>
      </c>
      <c r="U32" s="138" t="str">
        <f aca="false">TEXT(F32,"mmmm")</f>
        <v>August</v>
      </c>
      <c r="V32" s="139" t="n">
        <f aca="false">EOMONTH(F32,Assumptions!$C$90*(INT((Assumptions!$C$10-T32)/Assumptions!$C$90)+1))</f>
        <v>47361</v>
      </c>
      <c r="W32" s="76" t="n">
        <f aca="false">IF(G32&gt;=-11,I32*Assumptions!$C$92,0)</f>
        <v>0</v>
      </c>
      <c r="X32" s="76" t="n">
        <f aca="false">W32*IF(H32="Pipeline",S32,1)</f>
        <v>0</v>
      </c>
      <c r="Y32" s="67" t="n">
        <f aca="false">INDEX(Contracts!$E$34:$AB$34,Assumptions!$C$10)</f>
        <v>92</v>
      </c>
      <c r="Z32" s="67" t="n">
        <f aca="false">INDEX(Contracts!$E$72:$AB$72,Assumptions!$C$10)</f>
        <v>34</v>
      </c>
      <c r="AA32" s="67" t="n">
        <f aca="false">INDEX(Contracts!$E$148:$AB$148,Assumptions!$C$10)</f>
        <v>6455.59</v>
      </c>
      <c r="AB32" s="67" t="n">
        <f aca="false">SUM(Contracts!$E$148:$P$148)+IF(SUM(Contracts!$E$161:$P$161)=0,0,Licences!$C$9*SUM(Contracts!$E$34:$P$34)/SUM(Contracts!$E$161:$P$161))</f>
        <v>95088.9399035293</v>
      </c>
      <c r="AC32" s="67" t="n">
        <f aca="false">SUM(Contracts!$Q$148:$AB$148)+IF(SUM(Contracts!$Q$161:$AB$161)=0,0,Licences!$D$9*SUM(Contracts!$Q$34:$AB$34)/SUM(Contracts!$Q$161:$AB$161))</f>
        <v>100042.304982857</v>
      </c>
      <c r="AD32" s="64" t="n">
        <f aca="false">IF($AB$44=0,0,AB32/$AB$44)</f>
        <v>0.0261482876503095</v>
      </c>
      <c r="AE32" s="67" t="n">
        <f aca="false">IF((SUM(Contracts!$E$161:$P$161)*(Assumptions!$C$97*Assumptions!$C$107+Assumptions!$C$109)+SUM(Contracts!$E$162:$P$162)*(Assumptions!$C$98*Assumptions!$C$107+Assumptions!$C$108))=0,0,People!$C$102*(SUM(Contracts!$E$34:$P$34)*(Assumptions!$C$97*Assumptions!$C$107+Assumptions!$C$109)+SUM(Contracts!$E$72:$P$72)*(Assumptions!$C$98*Assumptions!$C$107+Assumptions!$C$108))/(SUM(Contracts!$E$161:$P$161)*(Assumptions!$C$97*Assumptions!$C$107+Assumptions!$C$109)+SUM(Contracts!$E$162:$P$162)*(Assumptions!$C$98*Assumptions!$C$107+Assumptions!$C$108)))+IF((SUM(Contracts!$E$161:$P$161)*Assumptions!$C$147+SUM(Contracts!$E$162:$P$162))=0,0,Overheads!$C$23*(SUM(Contracts!$E$34:$P$34)*Assumptions!$C$147+SUM(Contracts!$E$72:$P$72))/(SUM(Contracts!$E$161:$P$161)*Assumptions!$C$147+SUM(Contracts!$E$162:$P$162)))+IF(SUM(Contracts!$E$161:$P$161)=0,0,(Licences!$C$10-Rebates!$C$18)*SUM(Contracts!$E$34:$P$34)/SUM(Contracts!$E$161:$P$161))+IF(SUM(Contracts!$E$162:$P$162)=0,0,(Overheads!$C$24+Overheads!$C$25)*SUM(Contracts!$E$72:$P$72)/SUM(Contracts!$E$162:$P$162))</f>
        <v>57404.7271844977</v>
      </c>
      <c r="AF32" s="67" t="n">
        <f aca="false">AB32-AE32</f>
        <v>37684.2127190315</v>
      </c>
      <c r="AG32" s="64" t="n">
        <f aca="false">IF(AB32=0,0,AF32/AB32)</f>
        <v>0.396304898942646</v>
      </c>
      <c r="AH32" s="140" t="s">
        <v>1651</v>
      </c>
    </row>
    <row r="33" customFormat="false" ht="15" hidden="false" customHeight="false" outlineLevel="0" collapsed="false">
      <c r="A33" s="132" t="s">
        <v>839</v>
      </c>
      <c r="B33" s="132" t="s">
        <v>1381</v>
      </c>
      <c r="C33" s="132" t="s">
        <v>1648</v>
      </c>
      <c r="D33" s="132" t="s">
        <v>1621</v>
      </c>
      <c r="E33" s="79" t="n">
        <f aca="false">IF(C33="PT",Assumptions!$C$18,0)</f>
        <v>0</v>
      </c>
      <c r="F33" s="133" t="n">
        <v>45716</v>
      </c>
      <c r="G33" s="84" t="n">
        <f aca="false">((YEAR(F33)-YEAR(Assumptions!$C$8))*12+MONTH(F33)-MONTH(Assumptions!$C$8)+1)</f>
        <v>-10</v>
      </c>
      <c r="H33" s="132" t="s">
        <v>1618</v>
      </c>
      <c r="I33" s="115" t="n">
        <v>70</v>
      </c>
      <c r="J33" s="115" t="n">
        <v>18</v>
      </c>
      <c r="K33" s="134" t="n">
        <v>47</v>
      </c>
      <c r="L33" s="134" t="n">
        <v>64</v>
      </c>
      <c r="M33" s="135" t="n">
        <v>0.003</v>
      </c>
      <c r="N33" s="136" t="n">
        <v>45</v>
      </c>
      <c r="O33" s="132" t="s">
        <v>1623</v>
      </c>
      <c r="P33" s="137" t="n">
        <v>0.94</v>
      </c>
      <c r="Q33" s="137" t="n">
        <v>0.86</v>
      </c>
      <c r="R33" s="137" t="n">
        <v>0.97</v>
      </c>
      <c r="S33" s="79" t="n">
        <f aca="false">CHOOSE(Assumptions!$C$11,P33,Q33,R33)</f>
        <v>0.94</v>
      </c>
      <c r="T33" s="84" t="n">
        <f aca="false">G33</f>
        <v>-10</v>
      </c>
      <c r="U33" s="138" t="str">
        <f aca="false">TEXT(F33,"mmmm")</f>
        <v>February</v>
      </c>
      <c r="V33" s="139" t="n">
        <f aca="false">EOMONTH(F33,Assumptions!$C$90*(INT((Assumptions!$C$10-T33)/Assumptions!$C$90)+1))</f>
        <v>46812</v>
      </c>
      <c r="W33" s="76" t="n">
        <f aca="false">IF(G33&gt;=-11,I33*Assumptions!$C$92,0)</f>
        <v>3150</v>
      </c>
      <c r="X33" s="76" t="n">
        <f aca="false">W33*IF(H33="Pipeline",S33,1)</f>
        <v>3150</v>
      </c>
      <c r="Y33" s="67" t="n">
        <f aca="false">INDEX(Contracts!$E$35:$AB$35,Assumptions!$C$10)</f>
        <v>73</v>
      </c>
      <c r="Z33" s="67" t="n">
        <f aca="false">INDEX(Contracts!$E$73:$AB$73,Assumptions!$C$10)</f>
        <v>18</v>
      </c>
      <c r="AA33" s="67" t="n">
        <f aca="false">INDEX(Contracts!$E$149:$AB$149,Assumptions!$C$10)</f>
        <v>4702.16</v>
      </c>
      <c r="AB33" s="67" t="n">
        <f aca="false">SUM(Contracts!$E$149:$P$149)+IF(SUM(Contracts!$E$161:$P$161)=0,0,Licences!$C$9*SUM(Contracts!$E$35:$P$35)/SUM(Contracts!$E$161:$P$161))</f>
        <v>70887.7096041763</v>
      </c>
      <c r="AC33" s="67" t="n">
        <f aca="false">SUM(Contracts!$Q$149:$AB$149)+IF(SUM(Contracts!$Q$161:$AB$161)=0,0,Licences!$D$9*SUM(Contracts!$Q$35:$AB$35)/SUM(Contracts!$Q$161:$AB$161))</f>
        <v>75825.8280594907</v>
      </c>
      <c r="AD33" s="64" t="n">
        <f aca="false">IF($AB$44=0,0,AB33/$AB$44)</f>
        <v>0.0194932473059657</v>
      </c>
      <c r="AE33" s="67" t="n">
        <f aca="false">IF((SUM(Contracts!$E$161:$P$161)*(Assumptions!$C$97*Assumptions!$C$107+Assumptions!$C$109)+SUM(Contracts!$E$162:$P$162)*(Assumptions!$C$98*Assumptions!$C$107+Assumptions!$C$108))=0,0,People!$C$102*(SUM(Contracts!$E$35:$P$35)*(Assumptions!$C$97*Assumptions!$C$107+Assumptions!$C$109)+SUM(Contracts!$E$73:$P$73)*(Assumptions!$C$98*Assumptions!$C$107+Assumptions!$C$108))/(SUM(Contracts!$E$161:$P$161)*(Assumptions!$C$97*Assumptions!$C$107+Assumptions!$C$109)+SUM(Contracts!$E$162:$P$162)*(Assumptions!$C$98*Assumptions!$C$107+Assumptions!$C$108)))+IF((SUM(Contracts!$E$161:$P$161)*Assumptions!$C$147+SUM(Contracts!$E$162:$P$162))=0,0,Overheads!$C$23*(SUM(Contracts!$E$35:$P$35)*Assumptions!$C$147+SUM(Contracts!$E$73:$P$73))/(SUM(Contracts!$E$161:$P$161)*Assumptions!$C$147+SUM(Contracts!$E$162:$P$162)))+IF(SUM(Contracts!$E$161:$P$161)=0,0,(Licences!$C$10-Rebates!$C$18)*SUM(Contracts!$E$35:$P$35)/SUM(Contracts!$E$161:$P$161))+IF(SUM(Contracts!$E$162:$P$162)=0,0,(Overheads!$C$24+Overheads!$C$25)*SUM(Contracts!$E$73:$P$73)/SUM(Contracts!$E$162:$P$162))</f>
        <v>40030.3121252653</v>
      </c>
      <c r="AF33" s="67" t="n">
        <f aca="false">AB33-AE33</f>
        <v>30857.397478911</v>
      </c>
      <c r="AG33" s="64" t="n">
        <f aca="false">IF(AB33=0,0,AF33/AB33)</f>
        <v>0.435299682430325</v>
      </c>
      <c r="AH33" s="140"/>
    </row>
    <row r="34" customFormat="false" ht="15" hidden="false" customHeight="false" outlineLevel="0" collapsed="false">
      <c r="A34" s="132" t="s">
        <v>840</v>
      </c>
      <c r="B34" s="132" t="s">
        <v>1387</v>
      </c>
      <c r="C34" s="132" t="s">
        <v>1648</v>
      </c>
      <c r="D34" s="132" t="s">
        <v>1652</v>
      </c>
      <c r="E34" s="79" t="n">
        <f aca="false">IF(C34="PT",Assumptions!$C$18,0)</f>
        <v>0</v>
      </c>
      <c r="F34" s="133" t="n">
        <v>44865</v>
      </c>
      <c r="G34" s="84" t="n">
        <f aca="false">((YEAR(F34)-YEAR(Assumptions!$C$8))*12+MONTH(F34)-MONTH(Assumptions!$C$8)+1)</f>
        <v>-38</v>
      </c>
      <c r="H34" s="132" t="s">
        <v>1618</v>
      </c>
      <c r="I34" s="115" t="n">
        <v>80</v>
      </c>
      <c r="J34" s="115" t="n">
        <v>30</v>
      </c>
      <c r="K34" s="134" t="n">
        <v>41</v>
      </c>
      <c r="L34" s="134" t="n">
        <v>59</v>
      </c>
      <c r="M34" s="135" t="n">
        <v>0.001</v>
      </c>
      <c r="N34" s="136" t="n">
        <v>60</v>
      </c>
      <c r="O34" s="132" t="s">
        <v>1623</v>
      </c>
      <c r="P34" s="137" t="n">
        <v>0.92</v>
      </c>
      <c r="Q34" s="137" t="n">
        <v>0.82</v>
      </c>
      <c r="R34" s="137" t="n">
        <v>0.95</v>
      </c>
      <c r="S34" s="79" t="n">
        <f aca="false">CHOOSE(Assumptions!$C$11,P34,Q34,R34)</f>
        <v>0.92</v>
      </c>
      <c r="T34" s="84" t="n">
        <f aca="false">G34</f>
        <v>-38</v>
      </c>
      <c r="U34" s="138" t="str">
        <f aca="false">TEXT(F34,"mmmm")</f>
        <v>October</v>
      </c>
      <c r="V34" s="139" t="n">
        <f aca="false">EOMONTH(F34,Assumptions!$C$90*(INT((Assumptions!$C$10-T34)/Assumptions!$C$90)+1))</f>
        <v>47057</v>
      </c>
      <c r="W34" s="76" t="n">
        <f aca="false">IF(G34&gt;=-11,I34*Assumptions!$C$92,0)</f>
        <v>0</v>
      </c>
      <c r="X34" s="76" t="n">
        <f aca="false">W34*IF(H34="Pipeline",S34,1)</f>
        <v>0</v>
      </c>
      <c r="Y34" s="67" t="n">
        <f aca="false">INDEX(Contracts!$E$36:$AB$36,Assumptions!$C$10)</f>
        <v>80</v>
      </c>
      <c r="Z34" s="67" t="n">
        <f aca="false">INDEX(Contracts!$E$74:$AB$74,Assumptions!$C$10)</f>
        <v>30</v>
      </c>
      <c r="AA34" s="67" t="n">
        <f aca="false">INDEX(Contracts!$E$150:$AB$150,Assumptions!$C$10)</f>
        <v>5050</v>
      </c>
      <c r="AB34" s="67" t="n">
        <f aca="false">SUM(Contracts!$E$150:$P$150)+IF(SUM(Contracts!$E$161:$P$161)=0,0,Licences!$C$9*SUM(Contracts!$E$36:$P$36)/SUM(Contracts!$E$161:$P$161))</f>
        <v>78136.3590523862</v>
      </c>
      <c r="AC34" s="67" t="n">
        <f aca="false">SUM(Contracts!$Q$150:$AB$150)+IF(SUM(Contracts!$Q$161:$AB$161)=0,0,Licences!$D$9*SUM(Contracts!$Q$36:$AB$36)/SUM(Contracts!$Q$161:$AB$161))</f>
        <v>80846.7928523168</v>
      </c>
      <c r="AD34" s="64" t="n">
        <f aca="false">IF($AB$44=0,0,AB34/$AB$44)</f>
        <v>0.021486536652133</v>
      </c>
      <c r="AE34" s="67" t="n">
        <f aca="false">IF((SUM(Contracts!$E$161:$P$161)*(Assumptions!$C$97*Assumptions!$C$107+Assumptions!$C$109)+SUM(Contracts!$E$162:$P$162)*(Assumptions!$C$98*Assumptions!$C$107+Assumptions!$C$108))=0,0,People!$C$102*(SUM(Contracts!$E$36:$P$36)*(Assumptions!$C$97*Assumptions!$C$107+Assumptions!$C$109)+SUM(Contracts!$E$74:$P$74)*(Assumptions!$C$98*Assumptions!$C$107+Assumptions!$C$108))/(SUM(Contracts!$E$161:$P$161)*(Assumptions!$C$97*Assumptions!$C$107+Assumptions!$C$109)+SUM(Contracts!$E$162:$P$162)*(Assumptions!$C$98*Assumptions!$C$107+Assumptions!$C$108)))+IF((SUM(Contracts!$E$161:$P$161)*Assumptions!$C$147+SUM(Contracts!$E$162:$P$162))=0,0,Overheads!$C$23*(SUM(Contracts!$E$36:$P$36)*Assumptions!$C$147+SUM(Contracts!$E$74:$P$74))/(SUM(Contracts!$E$161:$P$161)*Assumptions!$C$147+SUM(Contracts!$E$162:$P$162)))+IF(SUM(Contracts!$E$161:$P$161)=0,0,(Licences!$C$10-Rebates!$C$18)*SUM(Contracts!$E$36:$P$36)/SUM(Contracts!$E$161:$P$161))+IF(SUM(Contracts!$E$162:$P$162)=0,0,(Overheads!$C$24+Overheads!$C$25)*SUM(Contracts!$E$74:$P$74)/SUM(Contracts!$E$162:$P$162))</f>
        <v>50605.876919161</v>
      </c>
      <c r="AF34" s="67" t="n">
        <f aca="false">AB34-AE34</f>
        <v>27530.4821332252</v>
      </c>
      <c r="AG34" s="64" t="n">
        <f aca="false">IF(AB34=0,0,AF34/AB34)</f>
        <v>0.352338942677986</v>
      </c>
      <c r="AH34" s="140"/>
    </row>
    <row r="35" customFormat="false" ht="23.85" hidden="false" customHeight="false" outlineLevel="0" collapsed="false">
      <c r="A35" s="132" t="s">
        <v>841</v>
      </c>
      <c r="B35" s="132" t="s">
        <v>1388</v>
      </c>
      <c r="C35" s="132" t="s">
        <v>1648</v>
      </c>
      <c r="D35" s="132" t="s">
        <v>1653</v>
      </c>
      <c r="E35" s="79" t="n">
        <f aca="false">IF(C35="PT",Assumptions!$C$18,0)</f>
        <v>0</v>
      </c>
      <c r="F35" s="133" t="n">
        <v>45291</v>
      </c>
      <c r="G35" s="84" t="n">
        <f aca="false">((YEAR(F35)-YEAR(Assumptions!$C$8))*12+MONTH(F35)-MONTH(Assumptions!$C$8)+1)</f>
        <v>-24</v>
      </c>
      <c r="H35" s="132" t="s">
        <v>1618</v>
      </c>
      <c r="I35" s="115" t="n">
        <v>95</v>
      </c>
      <c r="J35" s="115" t="n">
        <v>36</v>
      </c>
      <c r="K35" s="134" t="n">
        <v>42</v>
      </c>
      <c r="L35" s="134" t="n">
        <v>60</v>
      </c>
      <c r="M35" s="135" t="n">
        <v>0.001</v>
      </c>
      <c r="N35" s="136" t="n">
        <v>60</v>
      </c>
      <c r="O35" s="132" t="s">
        <v>1623</v>
      </c>
      <c r="P35" s="137" t="n">
        <v>0.88</v>
      </c>
      <c r="Q35" s="137" t="n">
        <v>0.75</v>
      </c>
      <c r="R35" s="137" t="n">
        <v>0.93</v>
      </c>
      <c r="S35" s="79" t="n">
        <f aca="false">CHOOSE(Assumptions!$C$11,P35,Q35,R35)</f>
        <v>0.88</v>
      </c>
      <c r="T35" s="84" t="n">
        <f aca="false">G35</f>
        <v>-24</v>
      </c>
      <c r="U35" s="138" t="str">
        <f aca="false">TEXT(F35,"mmmm")</f>
        <v>December</v>
      </c>
      <c r="V35" s="139" t="n">
        <f aca="false">EOMONTH(F35,Assumptions!$C$90*(INT((Assumptions!$C$10-T35)/Assumptions!$C$90)+1))</f>
        <v>46387</v>
      </c>
      <c r="W35" s="76" t="n">
        <f aca="false">IF(G35&gt;=-11,I35*Assumptions!$C$92,0)</f>
        <v>0</v>
      </c>
      <c r="X35" s="76" t="n">
        <f aca="false">W35*IF(H35="Pipeline",S35,1)</f>
        <v>0</v>
      </c>
      <c r="Y35" s="67" t="n">
        <f aca="false">INDEX(Contracts!$E$37:$AB$37,Assumptions!$C$10)</f>
        <v>95</v>
      </c>
      <c r="Z35" s="67" t="n">
        <f aca="false">INDEX(Contracts!$E$75:$AB$75,Assumptions!$C$10)</f>
        <v>36</v>
      </c>
      <c r="AA35" s="67" t="n">
        <f aca="false">INDEX(Contracts!$E$151:$AB$151,Assumptions!$C$10)</f>
        <v>6150</v>
      </c>
      <c r="AB35" s="67" t="n">
        <f aca="false">SUM(Contracts!$E$151:$P$151)+IF(SUM(Contracts!$E$161:$P$161)=0,0,Licences!$C$9*SUM(Contracts!$E$37:$P$37)/SUM(Contracts!$E$161:$P$161))</f>
        <v>92901.2131056368</v>
      </c>
      <c r="AC35" s="67" t="n">
        <f aca="false">SUM(Contracts!$Q$151:$AB$151)+IF(SUM(Contracts!$Q$161:$AB$161)=0,0,Licences!$D$9*SUM(Contracts!$Q$37:$AB$37)/SUM(Contracts!$Q$161:$AB$161))</f>
        <v>85838.8041996057</v>
      </c>
      <c r="AD35" s="64" t="n">
        <f aca="false">IF($AB$44=0,0,AB35/$AB$44)</f>
        <v>0.0255466897182091</v>
      </c>
      <c r="AE35" s="67" t="n">
        <f aca="false">IF((SUM(Contracts!$E$161:$P$161)*(Assumptions!$C$97*Assumptions!$C$107+Assumptions!$C$109)+SUM(Contracts!$E$162:$P$162)*(Assumptions!$C$98*Assumptions!$C$107+Assumptions!$C$108))=0,0,People!$C$102*(SUM(Contracts!$E$37:$P$37)*(Assumptions!$C$97*Assumptions!$C$107+Assumptions!$C$109)+SUM(Contracts!$E$75:$P$75)*(Assumptions!$C$98*Assumptions!$C$107+Assumptions!$C$108))/(SUM(Contracts!$E$161:$P$161)*(Assumptions!$C$97*Assumptions!$C$107+Assumptions!$C$109)+SUM(Contracts!$E$162:$P$162)*(Assumptions!$C$98*Assumptions!$C$107+Assumptions!$C$108)))+IF((SUM(Contracts!$E$161:$P$161)*Assumptions!$C$147+SUM(Contracts!$E$162:$P$162))=0,0,Overheads!$C$23*(SUM(Contracts!$E$37:$P$37)*Assumptions!$C$147+SUM(Contracts!$E$75:$P$75))/(SUM(Contracts!$E$161:$P$161)*Assumptions!$C$147+SUM(Contracts!$E$162:$P$162)))+IF(SUM(Contracts!$E$161:$P$161)=0,0,(Licences!$C$10-Rebates!$C$18)*SUM(Contracts!$E$37:$P$37)/SUM(Contracts!$E$161:$P$161))+IF(SUM(Contracts!$E$162:$P$162)=0,0,(Overheads!$C$24+Overheads!$C$25)*SUM(Contracts!$E$75:$P$75)/SUM(Contracts!$E$162:$P$162))</f>
        <v>59481.7284758399</v>
      </c>
      <c r="AF35" s="67" t="n">
        <f aca="false">AB35-AE35</f>
        <v>33419.4846297969</v>
      </c>
      <c r="AG35" s="64" t="n">
        <f aca="false">IF(AB35=0,0,AF35/AB35)</f>
        <v>0.359731412675915</v>
      </c>
      <c r="AH35" s="140" t="s">
        <v>1654</v>
      </c>
    </row>
    <row r="36" customFormat="false" ht="15" hidden="false" customHeight="false" outlineLevel="0" collapsed="false">
      <c r="A36" s="132" t="s">
        <v>842</v>
      </c>
      <c r="B36" s="132" t="s">
        <v>1389</v>
      </c>
      <c r="C36" s="132" t="s">
        <v>1648</v>
      </c>
      <c r="D36" s="132" t="s">
        <v>1655</v>
      </c>
      <c r="E36" s="79" t="n">
        <f aca="false">IF(C36="PT",Assumptions!$C$18,0)</f>
        <v>0</v>
      </c>
      <c r="F36" s="133" t="n">
        <v>45504</v>
      </c>
      <c r="G36" s="84" t="n">
        <f aca="false">((YEAR(F36)-YEAR(Assumptions!$C$8))*12+MONTH(F36)-MONTH(Assumptions!$C$8)+1)</f>
        <v>-17</v>
      </c>
      <c r="H36" s="132" t="s">
        <v>1618</v>
      </c>
      <c r="I36" s="115" t="n">
        <v>55</v>
      </c>
      <c r="J36" s="115" t="n">
        <v>20</v>
      </c>
      <c r="K36" s="134" t="n">
        <v>45</v>
      </c>
      <c r="L36" s="134" t="n">
        <v>62</v>
      </c>
      <c r="M36" s="135" t="n">
        <v>0.002</v>
      </c>
      <c r="N36" s="136" t="n">
        <v>45</v>
      </c>
      <c r="O36" s="132" t="s">
        <v>1623</v>
      </c>
      <c r="P36" s="137" t="n">
        <v>0.93</v>
      </c>
      <c r="Q36" s="137" t="n">
        <v>0.85</v>
      </c>
      <c r="R36" s="137" t="n">
        <v>0.96</v>
      </c>
      <c r="S36" s="79" t="n">
        <f aca="false">CHOOSE(Assumptions!$C$11,P36,Q36,R36)</f>
        <v>0.93</v>
      </c>
      <c r="T36" s="84" t="n">
        <f aca="false">G36</f>
        <v>-17</v>
      </c>
      <c r="U36" s="138" t="str">
        <f aca="false">TEXT(F36,"mmmm")</f>
        <v>July</v>
      </c>
      <c r="V36" s="139" t="n">
        <f aca="false">EOMONTH(F36,Assumptions!$C$90*(INT((Assumptions!$C$10-T36)/Assumptions!$C$90)+1))</f>
        <v>46599</v>
      </c>
      <c r="W36" s="76" t="n">
        <f aca="false">IF(G36&gt;=-11,I36*Assumptions!$C$92,0)</f>
        <v>0</v>
      </c>
      <c r="X36" s="76" t="n">
        <f aca="false">W36*IF(H36="Pipeline",S36,1)</f>
        <v>0</v>
      </c>
      <c r="Y36" s="67" t="n">
        <f aca="false">INDEX(Contracts!$E$38:$AB$38,Assumptions!$C$10)</f>
        <v>56</v>
      </c>
      <c r="Z36" s="67" t="n">
        <f aca="false">INDEX(Contracts!$E$76:$AB$76,Assumptions!$C$10)</f>
        <v>20</v>
      </c>
      <c r="AA36" s="67" t="n">
        <f aca="false">INDEX(Contracts!$E$152:$AB$152,Assumptions!$C$10)</f>
        <v>3857.76</v>
      </c>
      <c r="AB36" s="67" t="n">
        <f aca="false">SUM(Contracts!$E$152:$P$152)+IF(SUM(Contracts!$E$161:$P$161)=0,0,Licences!$C$9*SUM(Contracts!$E$38:$P$38)/SUM(Contracts!$E$161:$P$161))</f>
        <v>57378.8657628237</v>
      </c>
      <c r="AC36" s="67" t="n">
        <f aca="false">SUM(Contracts!$Q$152:$AB$152)+IF(SUM(Contracts!$Q$161:$AB$161)=0,0,Licences!$D$9*SUM(Contracts!$Q$38:$AB$38)/SUM(Contracts!$Q$161:$AB$161))</f>
        <v>57999.3158909258</v>
      </c>
      <c r="AD36" s="64" t="n">
        <f aca="false">IF($AB$44=0,0,AB36/$AB$44)</f>
        <v>0.0157784815829998</v>
      </c>
      <c r="AE36" s="67" t="n">
        <f aca="false">IF((SUM(Contracts!$E$161:$P$161)*(Assumptions!$C$97*Assumptions!$C$107+Assumptions!$C$109)+SUM(Contracts!$E$162:$P$162)*(Assumptions!$C$98*Assumptions!$C$107+Assumptions!$C$108))=0,0,People!$C$102*(SUM(Contracts!$E$38:$P$38)*(Assumptions!$C$97*Assumptions!$C$107+Assumptions!$C$109)+SUM(Contracts!$E$76:$P$76)*(Assumptions!$C$98*Assumptions!$C$107+Assumptions!$C$108))/(SUM(Contracts!$E$161:$P$161)*(Assumptions!$C$97*Assumptions!$C$107+Assumptions!$C$109)+SUM(Contracts!$E$162:$P$162)*(Assumptions!$C$98*Assumptions!$C$107+Assumptions!$C$108)))+IF((SUM(Contracts!$E$161:$P$161)*Assumptions!$C$147+SUM(Contracts!$E$162:$P$162))=0,0,Overheads!$C$23*(SUM(Contracts!$E$38:$P$38)*Assumptions!$C$147+SUM(Contracts!$E$76:$P$76))/(SUM(Contracts!$E$161:$P$161)*Assumptions!$C$147+SUM(Contracts!$E$162:$P$162)))+IF(SUM(Contracts!$E$161:$P$161)=0,0,(Licences!$C$10-Rebates!$C$18)*SUM(Contracts!$E$38:$P$38)/SUM(Contracts!$E$161:$P$161))+IF(SUM(Contracts!$E$162:$P$162)=0,0,(Overheads!$C$24+Overheads!$C$25)*SUM(Contracts!$E$76:$P$76)/SUM(Contracts!$E$162:$P$162))</f>
        <v>34663.522002676</v>
      </c>
      <c r="AF36" s="67" t="n">
        <f aca="false">AB36-AE36</f>
        <v>22715.3437601476</v>
      </c>
      <c r="AG36" s="64" t="n">
        <f aca="false">IF(AB36=0,0,AF36/AB36)</f>
        <v>0.395883457404714</v>
      </c>
      <c r="AH36" s="140"/>
    </row>
    <row r="37" customFormat="false" ht="15" hidden="false" customHeight="false" outlineLevel="0" collapsed="false">
      <c r="A37" s="132" t="s">
        <v>843</v>
      </c>
      <c r="B37" s="132" t="s">
        <v>1356</v>
      </c>
      <c r="C37" s="132" t="s">
        <v>1616</v>
      </c>
      <c r="D37" s="132" t="s">
        <v>1656</v>
      </c>
      <c r="E37" s="79" t="n">
        <f aca="false">IF(C37="PT",Assumptions!$C$18,0)</f>
        <v>0.23</v>
      </c>
      <c r="F37" s="133" t="n">
        <v>46112</v>
      </c>
      <c r="G37" s="84" t="n">
        <f aca="false">((YEAR(F37)-YEAR(Assumptions!$C$8))*12+MONTH(F37)-MONTH(Assumptions!$C$8)+1)</f>
        <v>3</v>
      </c>
      <c r="H37" s="132" t="s">
        <v>1657</v>
      </c>
      <c r="I37" s="115" t="n">
        <v>80</v>
      </c>
      <c r="J37" s="115" t="n">
        <v>28</v>
      </c>
      <c r="K37" s="134" t="n">
        <v>44</v>
      </c>
      <c r="L37" s="134" t="n">
        <v>62</v>
      </c>
      <c r="M37" s="135" t="n">
        <v>0.004</v>
      </c>
      <c r="N37" s="136" t="n">
        <v>30</v>
      </c>
      <c r="O37" s="132" t="s">
        <v>1623</v>
      </c>
      <c r="P37" s="137" t="n">
        <v>0.95</v>
      </c>
      <c r="Q37" s="137" t="n">
        <v>0.88</v>
      </c>
      <c r="R37" s="137" t="n">
        <v>0.97</v>
      </c>
      <c r="S37" s="79" t="n">
        <f aca="false">CHOOSE(Assumptions!$C$11,P37,Q37,R37)</f>
        <v>0.95</v>
      </c>
      <c r="T37" s="84" t="n">
        <f aca="false">G37</f>
        <v>3</v>
      </c>
      <c r="U37" s="138" t="str">
        <f aca="false">TEXT(F37,"mmmm")</f>
        <v>March</v>
      </c>
      <c r="V37" s="139" t="n">
        <f aca="false">EOMONTH(F37,Assumptions!$C$90*(INT((Assumptions!$C$10-T37)/Assumptions!$C$90)+1))</f>
        <v>47208</v>
      </c>
      <c r="W37" s="76" t="n">
        <f aca="false">IF(G37&gt;=-11,I37*Assumptions!$C$92,0)</f>
        <v>3600</v>
      </c>
      <c r="X37" s="76" t="n">
        <f aca="false">W37*IF(H37="Pipeline",S37,1)</f>
        <v>3600</v>
      </c>
      <c r="Y37" s="67" t="n">
        <f aca="false">INDEX(Contracts!$E$39:$AB$39,Assumptions!$C$10)</f>
        <v>81</v>
      </c>
      <c r="Z37" s="67" t="n">
        <f aca="false">INDEX(Contracts!$E$77:$AB$77,Assumptions!$C$10)</f>
        <v>29</v>
      </c>
      <c r="AA37" s="67" t="n">
        <f aca="false">INDEX(Contracts!$E$153:$AB$153,Assumptions!$C$10)</f>
        <v>5362</v>
      </c>
      <c r="AB37" s="67" t="n">
        <f aca="false">SUM(Contracts!$E$153:$P$153)+IF(SUM(Contracts!$E$161:$P$161)=0,0,Licences!$C$9*SUM(Contracts!$E$39:$P$39)/SUM(Contracts!$E$161:$P$161))</f>
        <v>67541.4189964388</v>
      </c>
      <c r="AC37" s="67" t="n">
        <f aca="false">SUM(Contracts!$Q$153:$AB$153)+IF(SUM(Contracts!$Q$161:$AB$161)=0,0,Licences!$D$9*SUM(Contracts!$Q$39:$AB$39)/SUM(Contracts!$Q$161:$AB$161))</f>
        <v>86502.1273227485</v>
      </c>
      <c r="AD37" s="64" t="n">
        <f aca="false">IF($AB$44=0,0,AB37/$AB$44)</f>
        <v>0.0185730585914694</v>
      </c>
      <c r="AE37" s="67" t="n">
        <f aca="false">IF((SUM(Contracts!$E$161:$P$161)*(Assumptions!$C$97*Assumptions!$C$107+Assumptions!$C$109)+SUM(Contracts!$E$162:$P$162)*(Assumptions!$C$98*Assumptions!$C$107+Assumptions!$C$108))=0,0,People!$C$102*(SUM(Contracts!$E$39:$P$39)*(Assumptions!$C$97*Assumptions!$C$107+Assumptions!$C$109)+SUM(Contracts!$E$77:$P$77)*(Assumptions!$C$98*Assumptions!$C$107+Assumptions!$C$108))/(SUM(Contracts!$E$161:$P$161)*(Assumptions!$C$97*Assumptions!$C$107+Assumptions!$C$109)+SUM(Contracts!$E$162:$P$162)*(Assumptions!$C$98*Assumptions!$C$107+Assumptions!$C$108)))+IF((SUM(Contracts!$E$161:$P$161)*Assumptions!$C$147+SUM(Contracts!$E$162:$P$162))=0,0,Overheads!$C$23*(SUM(Contracts!$E$39:$P$39)*Assumptions!$C$147+SUM(Contracts!$E$77:$P$77))/(SUM(Contracts!$E$161:$P$161)*Assumptions!$C$147+SUM(Contracts!$E$162:$P$162)))+IF(SUM(Contracts!$E$161:$P$161)=0,0,(Licences!$C$10-Rebates!$C$18)*SUM(Contracts!$E$39:$P$39)/SUM(Contracts!$E$161:$P$161))+IF(SUM(Contracts!$E$162:$P$162)=0,0,(Overheads!$C$24+Overheads!$C$25)*SUM(Contracts!$E$77:$P$77)/SUM(Contracts!$E$162:$P$162))</f>
        <v>41663.2694192439</v>
      </c>
      <c r="AF37" s="67" t="n">
        <f aca="false">AB37-AE37</f>
        <v>25878.1495771949</v>
      </c>
      <c r="AG37" s="64" t="n">
        <f aca="false">IF(AB37=0,0,AF37/AB37)</f>
        <v>0.383144890375481</v>
      </c>
      <c r="AH37" s="140"/>
    </row>
    <row r="38" customFormat="false" ht="15" hidden="false" customHeight="false" outlineLevel="0" collapsed="false">
      <c r="A38" s="132" t="s">
        <v>844</v>
      </c>
      <c r="B38" s="132" t="s">
        <v>1351</v>
      </c>
      <c r="C38" s="132" t="s">
        <v>1616</v>
      </c>
      <c r="D38" s="132" t="s">
        <v>1658</v>
      </c>
      <c r="E38" s="79" t="n">
        <f aca="false">IF(C38="PT",Assumptions!$C$18,0)</f>
        <v>0.23</v>
      </c>
      <c r="F38" s="133" t="n">
        <v>46173</v>
      </c>
      <c r="G38" s="84" t="n">
        <f aca="false">((YEAR(F38)-YEAR(Assumptions!$C$8))*12+MONTH(F38)-MONTH(Assumptions!$C$8)+1)</f>
        <v>5</v>
      </c>
      <c r="H38" s="132" t="s">
        <v>1657</v>
      </c>
      <c r="I38" s="115" t="n">
        <v>66</v>
      </c>
      <c r="J38" s="115" t="n">
        <v>20</v>
      </c>
      <c r="K38" s="134" t="n">
        <v>46</v>
      </c>
      <c r="L38" s="134" t="n">
        <v>60</v>
      </c>
      <c r="M38" s="135" t="n">
        <v>0.004</v>
      </c>
      <c r="N38" s="136" t="n">
        <v>30</v>
      </c>
      <c r="O38" s="132" t="s">
        <v>1623</v>
      </c>
      <c r="P38" s="137" t="n">
        <v>0.95</v>
      </c>
      <c r="Q38" s="137" t="n">
        <v>0.88</v>
      </c>
      <c r="R38" s="137" t="n">
        <v>0.97</v>
      </c>
      <c r="S38" s="79" t="n">
        <f aca="false">CHOOSE(Assumptions!$C$11,P38,Q38,R38)</f>
        <v>0.95</v>
      </c>
      <c r="T38" s="84" t="n">
        <f aca="false">G38</f>
        <v>5</v>
      </c>
      <c r="U38" s="138" t="str">
        <f aca="false">TEXT(F38,"mmmm")</f>
        <v>May</v>
      </c>
      <c r="V38" s="139" t="n">
        <f aca="false">EOMONTH(F38,Assumptions!$C$90*(INT((Assumptions!$C$10-T38)/Assumptions!$C$90)+1))</f>
        <v>47269</v>
      </c>
      <c r="W38" s="76" t="n">
        <f aca="false">IF(G38&gt;=-11,I38*Assumptions!$C$92,0)</f>
        <v>2970</v>
      </c>
      <c r="X38" s="76" t="n">
        <f aca="false">W38*IF(H38="Pipeline",S38,1)</f>
        <v>2970</v>
      </c>
      <c r="Y38" s="67" t="n">
        <f aca="false">INDEX(Contracts!$E$40:$AB$40,Assumptions!$C$10)</f>
        <v>67</v>
      </c>
      <c r="Z38" s="67" t="n">
        <f aca="false">INDEX(Contracts!$E$78:$AB$78,Assumptions!$C$10)</f>
        <v>20</v>
      </c>
      <c r="AA38" s="67" t="n">
        <f aca="false">INDEX(Contracts!$E$154:$AB$154,Assumptions!$C$10)</f>
        <v>4282</v>
      </c>
      <c r="AB38" s="67" t="n">
        <f aca="false">SUM(Contracts!$E$154:$P$154)+IF(SUM(Contracts!$E$161:$P$161)=0,0,Licences!$C$9*SUM(Contracts!$E$40:$P$40)/SUM(Contracts!$E$161:$P$161))</f>
        <v>43666.4185710524</v>
      </c>
      <c r="AC38" s="67" t="n">
        <f aca="false">SUM(Contracts!$Q$154:$AB$154)+IF(SUM(Contracts!$Q$161:$AB$161)=0,0,Licences!$D$9*SUM(Contracts!$Q$40:$AB$40)/SUM(Contracts!$Q$161:$AB$161))</f>
        <v>69398.4511156371</v>
      </c>
      <c r="AD38" s="64" t="n">
        <f aca="false">IF($AB$44=0,0,AB38/$AB$44)</f>
        <v>0.0120077274456218</v>
      </c>
      <c r="AE38" s="67" t="n">
        <f aca="false">IF((SUM(Contracts!$E$161:$P$161)*(Assumptions!$C$97*Assumptions!$C$107+Assumptions!$C$109)+SUM(Contracts!$E$162:$P$162)*(Assumptions!$C$98*Assumptions!$C$107+Assumptions!$C$108))=0,0,People!$C$102*(SUM(Contracts!$E$40:$P$40)*(Assumptions!$C$97*Assumptions!$C$107+Assumptions!$C$109)+SUM(Contracts!$E$78:$P$78)*(Assumptions!$C$98*Assumptions!$C$107+Assumptions!$C$108))/(SUM(Contracts!$E$161:$P$161)*(Assumptions!$C$97*Assumptions!$C$107+Assumptions!$C$109)+SUM(Contracts!$E$162:$P$162)*(Assumptions!$C$98*Assumptions!$C$107+Assumptions!$C$108)))+IF((SUM(Contracts!$E$161:$P$161)*Assumptions!$C$147+SUM(Contracts!$E$162:$P$162))=0,0,Overheads!$C$23*(SUM(Contracts!$E$40:$P$40)*Assumptions!$C$147+SUM(Contracts!$E$78:$P$78))/(SUM(Contracts!$E$161:$P$161)*Assumptions!$C$147+SUM(Contracts!$E$162:$P$162)))+IF(SUM(Contracts!$E$161:$P$161)=0,0,(Licences!$C$10-Rebates!$C$18)*SUM(Contracts!$E$40:$P$40)/SUM(Contracts!$E$161:$P$161))+IF(SUM(Contracts!$E$162:$P$162)=0,0,(Overheads!$C$24+Overheads!$C$25)*SUM(Contracts!$E$78:$P$78)/SUM(Contracts!$E$162:$P$162))</f>
        <v>26140.0554743076</v>
      </c>
      <c r="AF38" s="67" t="n">
        <f aca="false">AB38-AE38</f>
        <v>17526.3630967448</v>
      </c>
      <c r="AG38" s="64" t="n">
        <f aca="false">IF(AB38=0,0,AF38/AB38)</f>
        <v>0.401369374230372</v>
      </c>
      <c r="AH38" s="140"/>
    </row>
    <row r="39" customFormat="false" ht="15" hidden="false" customHeight="false" outlineLevel="0" collapsed="false">
      <c r="A39" s="132" t="s">
        <v>845</v>
      </c>
      <c r="B39" s="132" t="s">
        <v>1362</v>
      </c>
      <c r="C39" s="132" t="s">
        <v>1616</v>
      </c>
      <c r="D39" s="132" t="s">
        <v>1659</v>
      </c>
      <c r="E39" s="79" t="n">
        <f aca="false">IF(C39="PT",Assumptions!$C$18,0)</f>
        <v>0.23</v>
      </c>
      <c r="F39" s="133" t="n">
        <v>46234</v>
      </c>
      <c r="G39" s="84" t="n">
        <f aca="false">((YEAR(F39)-YEAR(Assumptions!$C$8))*12+MONTH(F39)-MONTH(Assumptions!$C$8)+1)</f>
        <v>7</v>
      </c>
      <c r="H39" s="132" t="s">
        <v>1657</v>
      </c>
      <c r="I39" s="115" t="n">
        <v>108</v>
      </c>
      <c r="J39" s="115" t="n">
        <v>33</v>
      </c>
      <c r="K39" s="134" t="n">
        <v>41</v>
      </c>
      <c r="L39" s="134" t="n">
        <v>60</v>
      </c>
      <c r="M39" s="135" t="n">
        <v>0.003</v>
      </c>
      <c r="N39" s="136" t="n">
        <v>45</v>
      </c>
      <c r="O39" s="132" t="s">
        <v>1623</v>
      </c>
      <c r="P39" s="137" t="n">
        <v>0.95</v>
      </c>
      <c r="Q39" s="137" t="n">
        <v>0.88</v>
      </c>
      <c r="R39" s="137" t="n">
        <v>0.97</v>
      </c>
      <c r="S39" s="79" t="n">
        <f aca="false">CHOOSE(Assumptions!$C$11,P39,Q39,R39)</f>
        <v>0.95</v>
      </c>
      <c r="T39" s="84" t="n">
        <f aca="false">G39</f>
        <v>7</v>
      </c>
      <c r="U39" s="138" t="str">
        <f aca="false">TEXT(F39,"mmmm")</f>
        <v>July</v>
      </c>
      <c r="V39" s="139" t="n">
        <f aca="false">EOMONTH(F39,Assumptions!$C$90*(INT((Assumptions!$C$10-T39)/Assumptions!$C$90)+1))</f>
        <v>47330</v>
      </c>
      <c r="W39" s="76" t="n">
        <f aca="false">IF(G39&gt;=-11,I39*Assumptions!$C$92,0)</f>
        <v>4860</v>
      </c>
      <c r="X39" s="76" t="n">
        <f aca="false">W39*IF(H39="Pipeline",S39,1)</f>
        <v>4860</v>
      </c>
      <c r="Y39" s="67" t="n">
        <f aca="false">INDEX(Contracts!$E$41:$AB$41,Assumptions!$C$10)</f>
        <v>109</v>
      </c>
      <c r="Z39" s="67" t="n">
        <f aca="false">INDEX(Contracts!$E$79:$AB$79,Assumptions!$C$10)</f>
        <v>33</v>
      </c>
      <c r="AA39" s="67" t="n">
        <f aca="false">INDEX(Contracts!$E$155:$AB$155,Assumptions!$C$10)</f>
        <v>6449</v>
      </c>
      <c r="AB39" s="67" t="n">
        <f aca="false">SUM(Contracts!$E$155:$P$155)+IF(SUM(Contracts!$E$161:$P$161)=0,0,Licences!$C$9*SUM(Contracts!$E$41:$P$41)/SUM(Contracts!$E$161:$P$161))</f>
        <v>50256.2686458484</v>
      </c>
      <c r="AC39" s="67" t="n">
        <f aca="false">SUM(Contracts!$Q$155:$AB$155)+IF(SUM(Contracts!$Q$161:$AB$161)=0,0,Licences!$D$9*SUM(Contracts!$Q$41:$AB$41)/SUM(Contracts!$Q$161:$AB$161))</f>
        <v>104910.117078635</v>
      </c>
      <c r="AD39" s="64" t="n">
        <f aca="false">IF($AB$44=0,0,AB39/$AB$44)</f>
        <v>0.0138198550758488</v>
      </c>
      <c r="AE39" s="67" t="n">
        <f aca="false">IF((SUM(Contracts!$E$161:$P$161)*(Assumptions!$C$97*Assumptions!$C$107+Assumptions!$C$109)+SUM(Contracts!$E$162:$P$162)*(Assumptions!$C$98*Assumptions!$C$107+Assumptions!$C$108))=0,0,People!$C$102*(SUM(Contracts!$E$41:$P$41)*(Assumptions!$C$97*Assumptions!$C$107+Assumptions!$C$109)+SUM(Contracts!$E$79:$P$79)*(Assumptions!$C$98*Assumptions!$C$107+Assumptions!$C$108))/(SUM(Contracts!$E$161:$P$161)*(Assumptions!$C$97*Assumptions!$C$107+Assumptions!$C$109)+SUM(Contracts!$E$162:$P$162)*(Assumptions!$C$98*Assumptions!$C$107+Assumptions!$C$108)))+IF((SUM(Contracts!$E$161:$P$161)*Assumptions!$C$147+SUM(Contracts!$E$162:$P$162))=0,0,Overheads!$C$23*(SUM(Contracts!$E$41:$P$41)*Assumptions!$C$147+SUM(Contracts!$E$79:$P$79))/(SUM(Contracts!$E$161:$P$161)*Assumptions!$C$147+SUM(Contracts!$E$162:$P$162)))+IF(SUM(Contracts!$E$161:$P$161)=0,0,(Licences!$C$10-Rebates!$C$18)*SUM(Contracts!$E$41:$P$41)/SUM(Contracts!$E$161:$P$161))+IF(SUM(Contracts!$E$162:$P$162)=0,0,(Overheads!$C$24+Overheads!$C$25)*SUM(Contracts!$E$79:$P$79)/SUM(Contracts!$E$162:$P$162))</f>
        <v>32082.1161754955</v>
      </c>
      <c r="AF39" s="67" t="n">
        <f aca="false">AB39-AE39</f>
        <v>18174.1524703529</v>
      </c>
      <c r="AG39" s="64" t="n">
        <f aca="false">IF(AB39=0,0,AF39/AB39)</f>
        <v>0.361629563038684</v>
      </c>
      <c r="AH39" s="140"/>
    </row>
    <row r="40" customFormat="false" ht="23.85" hidden="false" customHeight="false" outlineLevel="0" collapsed="false">
      <c r="A40" s="132" t="s">
        <v>846</v>
      </c>
      <c r="B40" s="132" t="s">
        <v>1660</v>
      </c>
      <c r="C40" s="132" t="s">
        <v>1616</v>
      </c>
      <c r="D40" s="132" t="s">
        <v>1661</v>
      </c>
      <c r="E40" s="79" t="n">
        <f aca="false">IF(C40="PT",Assumptions!$C$18,0)</f>
        <v>0.23</v>
      </c>
      <c r="F40" s="133" t="n">
        <v>46356</v>
      </c>
      <c r="G40" s="84" t="n">
        <f aca="false">((YEAR(F40)-YEAR(Assumptions!$C$8))*12+MONTH(F40)-MONTH(Assumptions!$C$8)+1)</f>
        <v>11</v>
      </c>
      <c r="H40" s="132" t="s">
        <v>1662</v>
      </c>
      <c r="I40" s="115" t="n">
        <v>480</v>
      </c>
      <c r="J40" s="115" t="n">
        <v>140</v>
      </c>
      <c r="K40" s="134" t="n">
        <v>36</v>
      </c>
      <c r="L40" s="134" t="n">
        <v>62</v>
      </c>
      <c r="M40" s="135" t="n">
        <v>0.003</v>
      </c>
      <c r="N40" s="136" t="n">
        <v>60</v>
      </c>
      <c r="O40" s="132" t="s">
        <v>1619</v>
      </c>
      <c r="P40" s="137" t="n">
        <v>0.55</v>
      </c>
      <c r="Q40" s="137" t="n">
        <v>0.35</v>
      </c>
      <c r="R40" s="137" t="n">
        <v>0.7</v>
      </c>
      <c r="S40" s="79" t="n">
        <f aca="false">CHOOSE(Assumptions!$C$11,P40,Q40,R40)</f>
        <v>0.55</v>
      </c>
      <c r="T40" s="84" t="n">
        <f aca="false">G40+Assumptions!$F$181</f>
        <v>11</v>
      </c>
      <c r="U40" s="138" t="str">
        <f aca="false">TEXT(F40,"mmmm")</f>
        <v>November</v>
      </c>
      <c r="V40" s="139" t="n">
        <f aca="false">EOMONTH(F40,Assumptions!$C$90*(INT((Assumptions!$C$10-T40)/Assumptions!$C$90)+1))</f>
        <v>46356</v>
      </c>
      <c r="W40" s="76" t="n">
        <f aca="false">IF(G40&gt;=-11,I40*Assumptions!$C$92,0)</f>
        <v>21600</v>
      </c>
      <c r="X40" s="76" t="n">
        <f aca="false">W40*IF(H40="Pipeline",S40,1)</f>
        <v>11880</v>
      </c>
      <c r="Y40" s="67" t="n">
        <f aca="false">INDEX(Contracts!$E$42:$AB$42,Assumptions!$C$10)</f>
        <v>0</v>
      </c>
      <c r="Z40" s="67" t="n">
        <f aca="false">INDEX(Contracts!$E$80:$AB$80,Assumptions!$C$10)</f>
        <v>0</v>
      </c>
      <c r="AA40" s="67" t="n">
        <f aca="false">INDEX(Contracts!$E$156:$AB$156,Assumptions!$C$10)</f>
        <v>0</v>
      </c>
      <c r="AB40" s="67" t="n">
        <f aca="false">SUM(Contracts!$E$156:$P$156)+IF(SUM(Contracts!$E$161:$P$161)=0,0,Licences!$C$9*SUM(Contracts!$E$42:$P$42)/SUM(Contracts!$E$161:$P$161))</f>
        <v>37808.5932222145</v>
      </c>
      <c r="AC40" s="67" t="n">
        <f aca="false">SUM(Contracts!$Q$156:$AB$156)+IF(SUM(Contracts!$Q$161:$AB$161)=0,0,Licences!$D$9*SUM(Contracts!$Q$42:$AB$42)/SUM(Contracts!$Q$161:$AB$161))</f>
        <v>233619.183251449</v>
      </c>
      <c r="AD40" s="64" t="n">
        <f aca="false">IF($AB$44=0,0,AB40/$AB$44)</f>
        <v>0.0103968976016664</v>
      </c>
      <c r="AE40" s="67" t="n">
        <f aca="false">IF((SUM(Contracts!$E$161:$P$161)*(Assumptions!$C$97*Assumptions!$C$107+Assumptions!$C$109)+SUM(Contracts!$E$162:$P$162)*(Assumptions!$C$98*Assumptions!$C$107+Assumptions!$C$108))=0,0,People!$C$102*(SUM(Contracts!$E$42:$P$42)*(Assumptions!$C$97*Assumptions!$C$107+Assumptions!$C$109)+SUM(Contracts!$E$80:$P$80)*(Assumptions!$C$98*Assumptions!$C$107+Assumptions!$C$108))/(SUM(Contracts!$E$161:$P$161)*(Assumptions!$C$97*Assumptions!$C$107+Assumptions!$C$109)+SUM(Contracts!$E$162:$P$162)*(Assumptions!$C$98*Assumptions!$C$107+Assumptions!$C$108)))+IF((SUM(Contracts!$E$161:$P$161)*Assumptions!$C$147+SUM(Contracts!$E$162:$P$162))=0,0,Overheads!$C$23*(SUM(Contracts!$E$42:$P$42)*Assumptions!$C$147+SUM(Contracts!$E$80:$P$80))/(SUM(Contracts!$E$161:$P$161)*Assumptions!$C$147+SUM(Contracts!$E$162:$P$162)))+IF(SUM(Contracts!$E$161:$P$161)=0,0,(Licences!$C$10-Rebates!$C$18)*SUM(Contracts!$E$42:$P$42)/SUM(Contracts!$E$161:$P$161))+IF(SUM(Contracts!$E$162:$P$162)=0,0,(Overheads!$C$24+Overheads!$C$25)*SUM(Contracts!$E$80:$P$80)/SUM(Contracts!$E$162:$P$162))</f>
        <v>25559.6288394901</v>
      </c>
      <c r="AF40" s="67" t="n">
        <f aca="false">AB40-AE40</f>
        <v>12248.9643827244</v>
      </c>
      <c r="AG40" s="64" t="n">
        <f aca="false">IF(AB40=0,0,AF40/AB40)</f>
        <v>0.32397302673318</v>
      </c>
      <c r="AH40" s="140" t="s">
        <v>1663</v>
      </c>
    </row>
    <row r="41" customFormat="false" ht="15" hidden="false" customHeight="false" outlineLevel="0" collapsed="false">
      <c r="A41" s="132" t="s">
        <v>847</v>
      </c>
      <c r="B41" s="132" t="s">
        <v>1664</v>
      </c>
      <c r="C41" s="132" t="s">
        <v>1616</v>
      </c>
      <c r="D41" s="132" t="s">
        <v>1665</v>
      </c>
      <c r="E41" s="79" t="n">
        <f aca="false">IF(C41="PT",Assumptions!$C$18,0)</f>
        <v>0.23</v>
      </c>
      <c r="F41" s="133" t="n">
        <v>46418</v>
      </c>
      <c r="G41" s="84" t="n">
        <f aca="false">((YEAR(F41)-YEAR(Assumptions!$C$8))*12+MONTH(F41)-MONTH(Assumptions!$C$8)+1)</f>
        <v>13</v>
      </c>
      <c r="H41" s="132" t="s">
        <v>1662</v>
      </c>
      <c r="I41" s="115" t="n">
        <v>120</v>
      </c>
      <c r="J41" s="115" t="n">
        <v>40</v>
      </c>
      <c r="K41" s="134" t="n">
        <v>42</v>
      </c>
      <c r="L41" s="134" t="n">
        <v>60</v>
      </c>
      <c r="M41" s="135" t="n">
        <v>0.003</v>
      </c>
      <c r="N41" s="136" t="n">
        <v>45</v>
      </c>
      <c r="O41" s="132" t="s">
        <v>1623</v>
      </c>
      <c r="P41" s="137" t="n">
        <v>0.5</v>
      </c>
      <c r="Q41" s="137" t="n">
        <v>0.3</v>
      </c>
      <c r="R41" s="137" t="n">
        <v>0.65</v>
      </c>
      <c r="S41" s="79" t="n">
        <f aca="false">CHOOSE(Assumptions!$C$11,P41,Q41,R41)</f>
        <v>0.5</v>
      </c>
      <c r="T41" s="84" t="n">
        <f aca="false">G41+Assumptions!$F$181</f>
        <v>13</v>
      </c>
      <c r="U41" s="138" t="str">
        <f aca="false">TEXT(F41,"mmmm")</f>
        <v>January</v>
      </c>
      <c r="V41" s="139" t="n">
        <f aca="false">EOMONTH(F41,Assumptions!$C$90*(INT((Assumptions!$C$10-T41)/Assumptions!$C$90)+1))</f>
        <v>46418</v>
      </c>
      <c r="W41" s="76" t="n">
        <f aca="false">IF(G41&gt;=-11,I41*Assumptions!$C$92,0)</f>
        <v>5400</v>
      </c>
      <c r="X41" s="76" t="n">
        <f aca="false">W41*IF(H41="Pipeline",S41,1)</f>
        <v>2700</v>
      </c>
      <c r="Y41" s="67" t="n">
        <f aca="false">INDEX(Contracts!$E$43:$AB$43,Assumptions!$C$10)</f>
        <v>0</v>
      </c>
      <c r="Z41" s="67" t="n">
        <f aca="false">INDEX(Contracts!$E$81:$AB$81,Assumptions!$C$10)</f>
        <v>0</v>
      </c>
      <c r="AA41" s="67" t="n">
        <f aca="false">INDEX(Contracts!$E$157:$AB$157,Assumptions!$C$10)</f>
        <v>0</v>
      </c>
      <c r="AB41" s="67" t="n">
        <f aca="false">SUM(Contracts!$E$157:$P$157)+IF(SUM(Contracts!$E$161:$P$161)=0,0,Licences!$C$9*SUM(Contracts!$E$43:$P$43)/SUM(Contracts!$E$161:$P$161))</f>
        <v>0</v>
      </c>
      <c r="AC41" s="67" t="n">
        <f aca="false">SUM(Contracts!$Q$157:$AB$157)+IF(SUM(Contracts!$Q$161:$AB$161)=0,0,Licences!$D$9*SUM(Contracts!$Q$43:$AB$43)/SUM(Contracts!$Q$161:$AB$161))</f>
        <v>58401.1253759263</v>
      </c>
      <c r="AD41" s="64" t="n">
        <f aca="false">IF($AB$44=0,0,AB41/$AB$44)</f>
        <v>0</v>
      </c>
      <c r="AE41" s="67" t="n">
        <f aca="false">IF((SUM(Contracts!$E$161:$P$161)*(Assumptions!$C$97*Assumptions!$C$107+Assumptions!$C$109)+SUM(Contracts!$E$162:$P$162)*(Assumptions!$C$98*Assumptions!$C$107+Assumptions!$C$108))=0,0,People!$C$102*(SUM(Contracts!$E$43:$P$43)*(Assumptions!$C$97*Assumptions!$C$107+Assumptions!$C$109)+SUM(Contracts!$E$81:$P$81)*(Assumptions!$C$98*Assumptions!$C$107+Assumptions!$C$108))/(SUM(Contracts!$E$161:$P$161)*(Assumptions!$C$97*Assumptions!$C$107+Assumptions!$C$109)+SUM(Contracts!$E$162:$P$162)*(Assumptions!$C$98*Assumptions!$C$107+Assumptions!$C$108)))+IF((SUM(Contracts!$E$161:$P$161)*Assumptions!$C$147+SUM(Contracts!$E$162:$P$162))=0,0,Overheads!$C$23*(SUM(Contracts!$E$43:$P$43)*Assumptions!$C$147+SUM(Contracts!$E$81:$P$81))/(SUM(Contracts!$E$161:$P$161)*Assumptions!$C$147+SUM(Contracts!$E$162:$P$162)))+IF(SUM(Contracts!$E$161:$P$161)=0,0,(Licences!$C$10-Rebates!$C$18)*SUM(Contracts!$E$43:$P$43)/SUM(Contracts!$E$161:$P$161))+IF(SUM(Contracts!$E$162:$P$162)=0,0,(Overheads!$C$24+Overheads!$C$25)*SUM(Contracts!$E$81:$P$81)/SUM(Contracts!$E$162:$P$162))</f>
        <v>0</v>
      </c>
      <c r="AF41" s="67" t="n">
        <f aca="false">AB41-AE41</f>
        <v>0</v>
      </c>
      <c r="AG41" s="64" t="n">
        <f aca="false">IF(AB41=0,0,AF41/AB41)</f>
        <v>0</v>
      </c>
      <c r="AH41" s="140"/>
    </row>
    <row r="42" customFormat="false" ht="15" hidden="false" customHeight="false" outlineLevel="0" collapsed="false">
      <c r="A42" s="132" t="s">
        <v>848</v>
      </c>
      <c r="B42" s="132" t="s">
        <v>1666</v>
      </c>
      <c r="C42" s="132" t="s">
        <v>1616</v>
      </c>
      <c r="D42" s="132" t="s">
        <v>1645</v>
      </c>
      <c r="E42" s="79" t="n">
        <f aca="false">IF(C42="PT",Assumptions!$C$18,0)</f>
        <v>0.23</v>
      </c>
      <c r="F42" s="133" t="n">
        <v>46446</v>
      </c>
      <c r="G42" s="84" t="n">
        <f aca="false">((YEAR(F42)-YEAR(Assumptions!$C$8))*12+MONTH(F42)-MONTH(Assumptions!$C$8)+1)</f>
        <v>14</v>
      </c>
      <c r="H42" s="132" t="s">
        <v>1662</v>
      </c>
      <c r="I42" s="115" t="n">
        <v>140</v>
      </c>
      <c r="J42" s="115" t="n">
        <v>55</v>
      </c>
      <c r="K42" s="134" t="n">
        <v>40</v>
      </c>
      <c r="L42" s="134" t="n">
        <v>55</v>
      </c>
      <c r="M42" s="135" t="n">
        <v>0.002</v>
      </c>
      <c r="N42" s="136" t="n">
        <v>45</v>
      </c>
      <c r="O42" s="132" t="s">
        <v>1623</v>
      </c>
      <c r="P42" s="137" t="n">
        <v>0.45</v>
      </c>
      <c r="Q42" s="137" t="n">
        <v>0.25</v>
      </c>
      <c r="R42" s="137" t="n">
        <v>0.6</v>
      </c>
      <c r="S42" s="79" t="n">
        <f aca="false">CHOOSE(Assumptions!$C$11,P42,Q42,R42)</f>
        <v>0.45</v>
      </c>
      <c r="T42" s="84" t="n">
        <f aca="false">G42+Assumptions!$F$181</f>
        <v>14</v>
      </c>
      <c r="U42" s="138" t="str">
        <f aca="false">TEXT(F42,"mmmm")</f>
        <v>February</v>
      </c>
      <c r="V42" s="139" t="n">
        <f aca="false">EOMONTH(F42,Assumptions!$C$90*(INT((Assumptions!$C$10-T42)/Assumptions!$C$90)+1))</f>
        <v>46446</v>
      </c>
      <c r="W42" s="76" t="n">
        <f aca="false">IF(G42&gt;=-11,I42*Assumptions!$C$92,0)</f>
        <v>6300</v>
      </c>
      <c r="X42" s="76" t="n">
        <f aca="false">W42*IF(H42="Pipeline",S42,1)</f>
        <v>2835</v>
      </c>
      <c r="Y42" s="67" t="n">
        <f aca="false">INDEX(Contracts!$E$44:$AB$44,Assumptions!$C$10)</f>
        <v>0</v>
      </c>
      <c r="Z42" s="67" t="n">
        <f aca="false">INDEX(Contracts!$E$82:$AB$82,Assumptions!$C$10)</f>
        <v>0</v>
      </c>
      <c r="AA42" s="67" t="n">
        <f aca="false">INDEX(Contracts!$E$158:$AB$158,Assumptions!$C$10)</f>
        <v>0</v>
      </c>
      <c r="AB42" s="67" t="n">
        <f aca="false">SUM(Contracts!$E$158:$P$158)+IF(SUM(Contracts!$E$161:$P$161)=0,0,Licences!$C$9*SUM(Contracts!$E$44:$P$44)/SUM(Contracts!$E$161:$P$161))</f>
        <v>0</v>
      </c>
      <c r="AC42" s="67" t="n">
        <f aca="false">SUM(Contracts!$Q$158:$AB$158)+IF(SUM(Contracts!$Q$161:$AB$161)=0,0,Licences!$D$9*SUM(Contracts!$Q$44:$AB$44)/SUM(Contracts!$Q$161:$AB$161))</f>
        <v>55610.6315959469</v>
      </c>
      <c r="AD42" s="64" t="n">
        <f aca="false">IF($AB$44=0,0,AB42/$AB$44)</f>
        <v>0</v>
      </c>
      <c r="AE42" s="67" t="n">
        <f aca="false">IF((SUM(Contracts!$E$161:$P$161)*(Assumptions!$C$97*Assumptions!$C$107+Assumptions!$C$109)+SUM(Contracts!$E$162:$P$162)*(Assumptions!$C$98*Assumptions!$C$107+Assumptions!$C$108))=0,0,People!$C$102*(SUM(Contracts!$E$44:$P$44)*(Assumptions!$C$97*Assumptions!$C$107+Assumptions!$C$109)+SUM(Contracts!$E$82:$P$82)*(Assumptions!$C$98*Assumptions!$C$107+Assumptions!$C$108))/(SUM(Contracts!$E$161:$P$161)*(Assumptions!$C$97*Assumptions!$C$107+Assumptions!$C$109)+SUM(Contracts!$E$162:$P$162)*(Assumptions!$C$98*Assumptions!$C$107+Assumptions!$C$108)))+IF((SUM(Contracts!$E$161:$P$161)*Assumptions!$C$147+SUM(Contracts!$E$162:$P$162))=0,0,Overheads!$C$23*(SUM(Contracts!$E$44:$P$44)*Assumptions!$C$147+SUM(Contracts!$E$82:$P$82))/(SUM(Contracts!$E$161:$P$161)*Assumptions!$C$147+SUM(Contracts!$E$162:$P$162)))+IF(SUM(Contracts!$E$161:$P$161)=0,0,(Licences!$C$10-Rebates!$C$18)*SUM(Contracts!$E$44:$P$44)/SUM(Contracts!$E$161:$P$161))+IF(SUM(Contracts!$E$162:$P$162)=0,0,(Overheads!$C$24+Overheads!$C$25)*SUM(Contracts!$E$82:$P$82)/SUM(Contracts!$E$162:$P$162))</f>
        <v>0</v>
      </c>
      <c r="AF42" s="67" t="n">
        <f aca="false">AB42-AE42</f>
        <v>0</v>
      </c>
      <c r="AG42" s="64" t="n">
        <f aca="false">IF(AB42=0,0,AF42/AB42)</f>
        <v>0</v>
      </c>
      <c r="AH42" s="140"/>
    </row>
    <row r="43" customFormat="false" ht="15" hidden="false" customHeight="false" outlineLevel="0" collapsed="false">
      <c r="A43" s="132" t="s">
        <v>849</v>
      </c>
      <c r="B43" s="132" t="s">
        <v>1667</v>
      </c>
      <c r="C43" s="132" t="s">
        <v>1648</v>
      </c>
      <c r="D43" s="132" t="s">
        <v>1649</v>
      </c>
      <c r="E43" s="79" t="n">
        <f aca="false">IF(C43="PT",Assumptions!$C$18,0)</f>
        <v>0</v>
      </c>
      <c r="F43" s="133" t="n">
        <v>46507</v>
      </c>
      <c r="G43" s="84" t="n">
        <f aca="false">((YEAR(F43)-YEAR(Assumptions!$C$8))*12+MONTH(F43)-MONTH(Assumptions!$C$8)+1)</f>
        <v>16</v>
      </c>
      <c r="H43" s="132" t="s">
        <v>1662</v>
      </c>
      <c r="I43" s="115" t="n">
        <v>100</v>
      </c>
      <c r="J43" s="115" t="n">
        <v>35</v>
      </c>
      <c r="K43" s="134" t="n">
        <v>43</v>
      </c>
      <c r="L43" s="134" t="n">
        <v>62</v>
      </c>
      <c r="M43" s="135" t="n">
        <v>0.002</v>
      </c>
      <c r="N43" s="136" t="n">
        <v>60</v>
      </c>
      <c r="O43" s="132" t="s">
        <v>1623</v>
      </c>
      <c r="P43" s="137" t="n">
        <v>0.4</v>
      </c>
      <c r="Q43" s="137" t="n">
        <v>0.25</v>
      </c>
      <c r="R43" s="137" t="n">
        <v>0.55</v>
      </c>
      <c r="S43" s="79" t="n">
        <f aca="false">CHOOSE(Assumptions!$C$11,P43,Q43,R43)</f>
        <v>0.4</v>
      </c>
      <c r="T43" s="84" t="n">
        <f aca="false">G43+Assumptions!$F$181</f>
        <v>16</v>
      </c>
      <c r="U43" s="138" t="str">
        <f aca="false">TEXT(F43,"mmmm")</f>
        <v>April</v>
      </c>
      <c r="V43" s="139" t="n">
        <f aca="false">EOMONTH(F43,Assumptions!$C$90*(INT((Assumptions!$C$10-T43)/Assumptions!$C$90)+1))</f>
        <v>46507</v>
      </c>
      <c r="W43" s="76" t="n">
        <f aca="false">IF(G43&gt;=-11,I43*Assumptions!$C$92,0)</f>
        <v>4500</v>
      </c>
      <c r="X43" s="76" t="n">
        <f aca="false">W43*IF(H43="Pipeline",S43,1)</f>
        <v>1800</v>
      </c>
      <c r="Y43" s="67" t="n">
        <f aca="false">INDEX(Contracts!$E$45:$AB$45,Assumptions!$C$10)</f>
        <v>0</v>
      </c>
      <c r="Z43" s="67" t="n">
        <f aca="false">INDEX(Contracts!$E$83:$AB$83,Assumptions!$C$10)</f>
        <v>0</v>
      </c>
      <c r="AA43" s="67" t="n">
        <f aca="false">INDEX(Contracts!$E$159:$AB$159,Assumptions!$C$10)</f>
        <v>0</v>
      </c>
      <c r="AB43" s="67" t="n">
        <f aca="false">SUM(Contracts!$E$159:$P$159)+IF(SUM(Contracts!$E$161:$P$161)=0,0,Licences!$C$9*SUM(Contracts!$E$45:$P$45)/SUM(Contracts!$E$161:$P$161))</f>
        <v>0</v>
      </c>
      <c r="AC43" s="67" t="n">
        <f aca="false">SUM(Contracts!$Q$159:$AB$159)+IF(SUM(Contracts!$Q$161:$AB$161)=0,0,Licences!$D$9*SUM(Contracts!$Q$45:$AB$45)/SUM(Contracts!$Q$161:$AB$161))</f>
        <v>29960.8621415721</v>
      </c>
      <c r="AD43" s="64" t="n">
        <f aca="false">IF($AB$44=0,0,AB43/$AB$44)</f>
        <v>0</v>
      </c>
      <c r="AE43" s="67" t="n">
        <f aca="false">IF((SUM(Contracts!$E$161:$P$161)*(Assumptions!$C$97*Assumptions!$C$107+Assumptions!$C$109)+SUM(Contracts!$E$162:$P$162)*(Assumptions!$C$98*Assumptions!$C$107+Assumptions!$C$108))=0,0,People!$C$102*(SUM(Contracts!$E$45:$P$45)*(Assumptions!$C$97*Assumptions!$C$107+Assumptions!$C$109)+SUM(Contracts!$E$83:$P$83)*(Assumptions!$C$98*Assumptions!$C$107+Assumptions!$C$108))/(SUM(Contracts!$E$161:$P$161)*(Assumptions!$C$97*Assumptions!$C$107+Assumptions!$C$109)+SUM(Contracts!$E$162:$P$162)*(Assumptions!$C$98*Assumptions!$C$107+Assumptions!$C$108)))+IF((SUM(Contracts!$E$161:$P$161)*Assumptions!$C$147+SUM(Contracts!$E$162:$P$162))=0,0,Overheads!$C$23*(SUM(Contracts!$E$45:$P$45)*Assumptions!$C$147+SUM(Contracts!$E$83:$P$83))/(SUM(Contracts!$E$161:$P$161)*Assumptions!$C$147+SUM(Contracts!$E$162:$P$162)))+IF(SUM(Contracts!$E$161:$P$161)=0,0,(Licences!$C$10-Rebates!$C$18)*SUM(Contracts!$E$45:$P$45)/SUM(Contracts!$E$161:$P$161))+IF(SUM(Contracts!$E$162:$P$162)=0,0,(Overheads!$C$24+Overheads!$C$25)*SUM(Contracts!$E$83:$P$83)/SUM(Contracts!$E$162:$P$162))</f>
        <v>0</v>
      </c>
      <c r="AF43" s="67" t="n">
        <f aca="false">AB43-AE43</f>
        <v>0</v>
      </c>
      <c r="AG43" s="64" t="n">
        <f aca="false">IF(AB43=0,0,AF43/AB43)</f>
        <v>0</v>
      </c>
      <c r="AH43" s="140"/>
    </row>
    <row r="44" customFormat="false" ht="15" hidden="false" customHeight="false" outlineLevel="0" collapsed="false">
      <c r="A44" s="87" t="s">
        <v>1395</v>
      </c>
      <c r="I44" s="88" t="n">
        <f aca="false">SUMIFS(I7:I43,G7:G43,"&lt;=0")</f>
        <v>3775</v>
      </c>
      <c r="J44" s="88" t="n">
        <f aca="false">SUMIFS(J7:J43,G7:G43,"&lt;=0")</f>
        <v>1174</v>
      </c>
      <c r="W44" s="88" t="n">
        <f aca="false">SUM(W7:W43)</f>
        <v>59805</v>
      </c>
      <c r="X44" s="88" t="n">
        <f aca="false">SUM(X7:X43)</f>
        <v>41220</v>
      </c>
      <c r="Y44" s="88" t="n">
        <f aca="false">SUM(Y7:Y43)</f>
        <v>3951</v>
      </c>
      <c r="Z44" s="88" t="n">
        <f aca="false">SUM(Z7:Z43)</f>
        <v>1225</v>
      </c>
      <c r="AA44" s="88" t="n">
        <f aca="false">SUM(AA7:AA43)</f>
        <v>236994.81</v>
      </c>
      <c r="AB44" s="88" t="n">
        <f aca="false">SUM(AB7:AB43)</f>
        <v>3636526.45921554</v>
      </c>
      <c r="AC44" s="88" t="n">
        <f aca="false">SUM(AC7:AC43)</f>
        <v>4108836.7856011</v>
      </c>
      <c r="AD44" s="141" t="n">
        <f aca="false">SUM(AD7:AD43)</f>
        <v>1</v>
      </c>
      <c r="AE44" s="88" t="n">
        <f aca="false">SUM(AE7:AE43)</f>
        <v>2324531.01595826</v>
      </c>
      <c r="AF44" s="88" t="n">
        <f aca="false">SUM(AF7:AF43)</f>
        <v>1311995.44325727</v>
      </c>
      <c r="AG44" s="37" t="n">
        <f aca="false">IF(AB44=0,0,AF44/AB44)</f>
        <v>0.360782592391833</v>
      </c>
    </row>
    <row r="46" customFormat="false" ht="15" hidden="false" customHeight="false" outlineLevel="0" collapsed="false">
      <c r="A46" s="24" t="s">
        <v>1668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7"/>
    <col collapsed="false" customWidth="true" hidden="false" outlineLevel="0" max="3" min="3" style="0" width="26"/>
    <col collapsed="false" customWidth="true" hidden="false" outlineLevel="0" max="4" min="4" style="0" width="30"/>
    <col collapsed="false" customWidth="true" hidden="false" outlineLevel="0" max="5" min="5" style="0" width="6"/>
    <col collapsed="false" customWidth="true" hidden="false" outlineLevel="0" max="6" min="6" style="0" width="10"/>
    <col collapsed="false" customWidth="true" hidden="false" outlineLevel="0" max="8" min="7" style="0" width="9"/>
    <col collapsed="false" customWidth="true" hidden="false" outlineLevel="0" max="10" min="9" style="0" width="6"/>
    <col collapsed="false" customWidth="true" hidden="false" outlineLevel="0" max="12" min="11" style="0" width="9"/>
    <col collapsed="false" customWidth="true" hidden="false" outlineLevel="0" max="14" min="13" style="0" width="8"/>
    <col collapsed="false" customWidth="true" hidden="false" outlineLevel="0" max="16" min="15" style="0" width="9"/>
    <col collapsed="false" customWidth="true" hidden="false" outlineLevel="0" max="17" min="17" style="0" width="7"/>
    <col collapsed="false" customWidth="true" hidden="false" outlineLevel="0" max="18" min="18" style="0" width="6"/>
    <col collapsed="false" customWidth="true" hidden="false" outlineLevel="0" max="22" min="19" style="0" width="9"/>
    <col collapsed="false" customWidth="true" hidden="false" outlineLevel="0" max="23" min="23" style="0" width="8"/>
    <col collapsed="false" customWidth="true" hidden="false" outlineLevel="0" max="29" min="24" style="0" width="10"/>
    <col collapsed="false" customWidth="true" hidden="false" outlineLevel="0" max="30" min="30" style="0" width="7"/>
    <col collapsed="false" customWidth="true" hidden="false" outlineLevel="0" max="31" min="31" style="0" width="50"/>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1669</v>
      </c>
    </row>
    <row r="3" customFormat="false" ht="15" hidden="false" customHeight="false" outlineLevel="0" collapsed="false">
      <c r="A3" s="24" t="s">
        <v>1670</v>
      </c>
    </row>
    <row r="6" customFormat="false" ht="78" hidden="false" customHeight="true" outlineLevel="0" collapsed="false">
      <c r="A6" s="25" t="s">
        <v>1583</v>
      </c>
      <c r="B6" s="26" t="s">
        <v>1671</v>
      </c>
      <c r="C6" s="26" t="s">
        <v>1584</v>
      </c>
      <c r="D6" s="26" t="s">
        <v>1672</v>
      </c>
      <c r="E6" s="26" t="s">
        <v>17</v>
      </c>
      <c r="F6" s="26" t="s">
        <v>1673</v>
      </c>
      <c r="G6" s="26" t="s">
        <v>1674</v>
      </c>
      <c r="H6" s="26" t="s">
        <v>1675</v>
      </c>
      <c r="I6" s="26" t="s">
        <v>1676</v>
      </c>
      <c r="J6" s="26" t="s">
        <v>1677</v>
      </c>
      <c r="K6" s="26" t="s">
        <v>1678</v>
      </c>
      <c r="L6" s="26" t="s">
        <v>1679</v>
      </c>
      <c r="M6" s="26" t="s">
        <v>1680</v>
      </c>
      <c r="N6" s="26" t="s">
        <v>1681</v>
      </c>
      <c r="O6" s="26" t="s">
        <v>1682</v>
      </c>
      <c r="P6" s="26" t="s">
        <v>1683</v>
      </c>
      <c r="Q6" s="26" t="s">
        <v>1684</v>
      </c>
      <c r="R6" s="26" t="s">
        <v>1585</v>
      </c>
      <c r="S6" s="26" t="s">
        <v>1685</v>
      </c>
      <c r="T6" s="26" t="s">
        <v>1686</v>
      </c>
      <c r="U6" s="26" t="s">
        <v>1687</v>
      </c>
      <c r="V6" s="26" t="s">
        <v>1688</v>
      </c>
      <c r="W6" s="26" t="s">
        <v>1689</v>
      </c>
      <c r="X6" s="26" t="s">
        <v>1690</v>
      </c>
      <c r="Y6" s="26" t="s">
        <v>1691</v>
      </c>
      <c r="Z6" s="26" t="s">
        <v>1692</v>
      </c>
      <c r="AA6" s="26" t="s">
        <v>1693</v>
      </c>
      <c r="AB6" s="26" t="s">
        <v>1694</v>
      </c>
      <c r="AC6" s="26" t="s">
        <v>1695</v>
      </c>
      <c r="AD6" s="26" t="s">
        <v>1696</v>
      </c>
      <c r="AE6" s="26" t="s">
        <v>1697</v>
      </c>
    </row>
    <row r="7" customFormat="false" ht="46.25" hidden="false" customHeight="false" outlineLevel="0" collapsed="false">
      <c r="A7" s="132" t="s">
        <v>940</v>
      </c>
      <c r="B7" s="132" t="s">
        <v>813</v>
      </c>
      <c r="C7" s="138" t="str">
        <f aca="false">INDEX(Contract_Register!$B$7:$B$43,MATCH(B7,Contract_Register!$A$7:$A$43,0))</f>
        <v>Brevanor Têxteis, S.A.</v>
      </c>
      <c r="D7" s="132" t="s">
        <v>1698</v>
      </c>
      <c r="E7" s="132" t="s">
        <v>1699</v>
      </c>
      <c r="F7" s="134" t="n">
        <v>158000</v>
      </c>
      <c r="G7" s="133" t="n">
        <v>45991</v>
      </c>
      <c r="H7" s="133" t="n">
        <v>46356</v>
      </c>
      <c r="I7" s="84" t="n">
        <f aca="false">((YEAR(G7)-YEAR(Assumptions!$C$8))*12+MONTH(G7)-MONTH(Assumptions!$C$8)+1)</f>
        <v>-1</v>
      </c>
      <c r="J7" s="84" t="n">
        <f aca="false">((YEAR(H7)-YEAR(Assumptions!$C$8))*12+MONTH(H7)-MONTH(Assumptions!$C$8)+1)</f>
        <v>11</v>
      </c>
      <c r="K7" s="115" t="n">
        <v>2150</v>
      </c>
      <c r="L7" s="115" t="n">
        <v>1350</v>
      </c>
      <c r="M7" s="115" t="n">
        <v>175</v>
      </c>
      <c r="N7" s="115" t="n">
        <v>0</v>
      </c>
      <c r="O7" s="115" t="n">
        <v>13487.8</v>
      </c>
      <c r="P7" s="115" t="n">
        <v>47400</v>
      </c>
      <c r="Q7" s="136" t="n">
        <v>1</v>
      </c>
      <c r="R7" s="138" t="str">
        <f aca="false">INDEX(Contract_Register!$C$7:$C$43,MATCH(B7,Contract_Register!$A$7:$A$43,0))</f>
        <v>PT</v>
      </c>
      <c r="S7" s="76" t="n">
        <f aca="false">M7+SUMIFS(Inputs_Actuals!$E$124:$AB$124,Assumptions!$E$201:$AB$201,"&lt;="&amp;Assumptions!$C$10)</f>
        <v>1415</v>
      </c>
      <c r="T7" s="76" t="n">
        <f aca="false">N7+SUMIFS(Inputs_Actuals!$E$125:$AB$125,Assumptions!$E$201:$AB$201,"&lt;="&amp;Assumptions!$C$10)</f>
        <v>980</v>
      </c>
      <c r="U7" s="76" t="n">
        <f aca="false">IF(Q7=1,K7+Assumptions!$F$187*MAX(0,K7-S7),K7)</f>
        <v>2150</v>
      </c>
      <c r="V7" s="76" t="n">
        <f aca="false">IF(Q7=1,L7+Assumptions!$F$187*MAX(0,L7-T7),L7)</f>
        <v>1350</v>
      </c>
      <c r="W7" s="64" t="n">
        <f aca="false">INDEX(Projects!$E$61:$AB$61,Assumptions!$C$10)</f>
        <v>0.684285696202532</v>
      </c>
      <c r="X7" s="67" t="n">
        <f aca="false">SUM(Projects!$E$74:$P$74)</f>
        <v>144512.2</v>
      </c>
      <c r="Y7" s="67" t="n">
        <f aca="false">SUM(Projects!$E$100:$P$100)</f>
        <v>110600</v>
      </c>
      <c r="Z7" s="67" t="n">
        <f aca="false">INDEX(Projects!$E$126:$AB$126,Assumptions!$C$10)</f>
        <v>2482.86000000002</v>
      </c>
      <c r="AA7" s="67" t="n">
        <f aca="false">INDEX(Projects!$E$139:$AB$139,Assumptions!$C$10)</f>
        <v>2507.14</v>
      </c>
      <c r="AB7" s="67" t="n">
        <f aca="false">U7*Assumptions!$C$134+V7*Assumptions!$C$135</f>
        <v>175200</v>
      </c>
      <c r="AC7" s="67" t="n">
        <f aca="false">IF(E7="FF",F7,(U7+V7)*F7)-AB7</f>
        <v>-17200</v>
      </c>
      <c r="AD7" s="64" t="n">
        <f aca="false">IF(IF(E7="FF",F7,(U7+V7)*F7)=0,0,AC7/IF(E7="FF",F7,(U7+V7)*F7))</f>
        <v>-0.108860759493671</v>
      </c>
      <c r="AE7" s="140" t="s">
        <v>1700</v>
      </c>
    </row>
    <row r="8" customFormat="false" ht="15" hidden="false" customHeight="false" outlineLevel="0" collapsed="false">
      <c r="A8" s="132" t="s">
        <v>941</v>
      </c>
      <c r="B8" s="132" t="s">
        <v>814</v>
      </c>
      <c r="C8" s="138" t="str">
        <f aca="false">INDEX(Contract_Register!$B$7:$B$43,MATCH(B8,Contract_Register!$A$7:$A$43,0))</f>
        <v>Clínicas Almedra, Lda</v>
      </c>
      <c r="D8" s="132" t="s">
        <v>1701</v>
      </c>
      <c r="E8" s="132" t="s">
        <v>1699</v>
      </c>
      <c r="F8" s="134" t="n">
        <v>64000</v>
      </c>
      <c r="G8" s="133" t="n">
        <v>46053</v>
      </c>
      <c r="H8" s="133" t="n">
        <v>46142</v>
      </c>
      <c r="I8" s="84" t="n">
        <f aca="false">((YEAR(G8)-YEAR(Assumptions!$C$8))*12+MONTH(G8)-MONTH(Assumptions!$C$8)+1)</f>
        <v>1</v>
      </c>
      <c r="J8" s="84" t="n">
        <f aca="false">((YEAR(H8)-YEAR(Assumptions!$C$8))*12+MONTH(H8)-MONTH(Assumptions!$C$8)+1)</f>
        <v>4</v>
      </c>
      <c r="K8" s="115" t="n">
        <v>780</v>
      </c>
      <c r="L8" s="115" t="n">
        <v>0</v>
      </c>
      <c r="M8" s="115" t="n">
        <v>0</v>
      </c>
      <c r="N8" s="115" t="n">
        <v>0</v>
      </c>
      <c r="O8" s="115" t="n">
        <v>0</v>
      </c>
      <c r="P8" s="115" t="n">
        <v>0</v>
      </c>
      <c r="Q8" s="136" t="n">
        <v>0</v>
      </c>
      <c r="R8" s="138" t="str">
        <f aca="false">INDEX(Contract_Register!$C$7:$C$43,MATCH(B8,Contract_Register!$A$7:$A$43,0))</f>
        <v>PT</v>
      </c>
      <c r="S8" s="76" t="n">
        <f aca="false">M8+SUMIFS(Inputs_Actuals!$E$126:$AB$126,Assumptions!$E$201:$AB$201,"&lt;="&amp;Assumptions!$C$10)</f>
        <v>780</v>
      </c>
      <c r="T8" s="76" t="n">
        <f aca="false">N8+SUMIFS(Inputs_Actuals!$E$127:$AB$127,Assumptions!$E$201:$AB$201,"&lt;="&amp;Assumptions!$C$10)</f>
        <v>0</v>
      </c>
      <c r="U8" s="76" t="n">
        <f aca="false">IF(Q8=1,K8+Assumptions!$F$187*MAX(0,K8-S8),K8)</f>
        <v>780</v>
      </c>
      <c r="V8" s="76" t="n">
        <f aca="false">IF(Q8=1,L8+Assumptions!$F$187*MAX(0,L8-T8),L8)</f>
        <v>0</v>
      </c>
      <c r="W8" s="64" t="n">
        <f aca="false">INDEX(Projects!$E$62:$AB$62,Assumptions!$C$10)</f>
        <v>1</v>
      </c>
      <c r="X8" s="67" t="n">
        <f aca="false">SUM(Projects!$E$75:$P$75)</f>
        <v>64000</v>
      </c>
      <c r="Y8" s="67" t="n">
        <f aca="false">SUM(Projects!$E$101:$P$101)</f>
        <v>64000</v>
      </c>
      <c r="Z8" s="67" t="n">
        <f aca="false">INDEX(Projects!$E$127:$AB$127,Assumptions!$C$10)</f>
        <v>0</v>
      </c>
      <c r="AA8" s="67" t="n">
        <f aca="false">INDEX(Projects!$E$140:$AB$140,Assumptions!$C$10)</f>
        <v>0</v>
      </c>
      <c r="AB8" s="67" t="n">
        <f aca="false">U8*Assumptions!$C$134+V8*Assumptions!$C$135</f>
        <v>23400</v>
      </c>
      <c r="AC8" s="67" t="n">
        <f aca="false">IF(E8="FF",F8,(U8+V8)*F8)-AB8</f>
        <v>40600</v>
      </c>
      <c r="AD8" s="64" t="n">
        <f aca="false">IF(IF(E8="FF",F8,(U8+V8)*F8)=0,0,AC8/IF(E8="FF",F8,(U8+V8)*F8))</f>
        <v>0.634375</v>
      </c>
      <c r="AE8" s="140"/>
    </row>
    <row r="9" customFormat="false" ht="15" hidden="false" customHeight="false" outlineLevel="0" collapsed="false">
      <c r="A9" s="132" t="s">
        <v>942</v>
      </c>
      <c r="B9" s="132" t="s">
        <v>824</v>
      </c>
      <c r="C9" s="138" t="str">
        <f aca="false">INDEX(Contract_Register!$B$7:$B$43,MATCH(B9,Contract_Register!$A$7:$A$43,0))</f>
        <v>Cerâmicas Lovredo, S.A.</v>
      </c>
      <c r="D9" s="132" t="s">
        <v>1702</v>
      </c>
      <c r="E9" s="132" t="s">
        <v>1699</v>
      </c>
      <c r="F9" s="134" t="n">
        <v>52000</v>
      </c>
      <c r="G9" s="133" t="n">
        <v>46112</v>
      </c>
      <c r="H9" s="133" t="n">
        <v>46234</v>
      </c>
      <c r="I9" s="84" t="n">
        <f aca="false">((YEAR(G9)-YEAR(Assumptions!$C$8))*12+MONTH(G9)-MONTH(Assumptions!$C$8)+1)</f>
        <v>3</v>
      </c>
      <c r="J9" s="84" t="n">
        <f aca="false">((YEAR(H9)-YEAR(Assumptions!$C$8))*12+MONTH(H9)-MONTH(Assumptions!$C$8)+1)</f>
        <v>7</v>
      </c>
      <c r="K9" s="115" t="n">
        <v>640</v>
      </c>
      <c r="L9" s="115" t="n">
        <v>0</v>
      </c>
      <c r="M9" s="115" t="n">
        <v>0</v>
      </c>
      <c r="N9" s="115" t="n">
        <v>0</v>
      </c>
      <c r="O9" s="115" t="n">
        <v>0</v>
      </c>
      <c r="P9" s="115" t="n">
        <v>0</v>
      </c>
      <c r="Q9" s="136" t="n">
        <v>0</v>
      </c>
      <c r="R9" s="138" t="str">
        <f aca="false">INDEX(Contract_Register!$C$7:$C$43,MATCH(B9,Contract_Register!$A$7:$A$43,0))</f>
        <v>PT</v>
      </c>
      <c r="S9" s="76" t="n">
        <f aca="false">M9+SUMIFS(Inputs_Actuals!$E$128:$AB$128,Assumptions!$E$201:$AB$201,"&lt;="&amp;Assumptions!$C$10)</f>
        <v>640</v>
      </c>
      <c r="T9" s="76" t="n">
        <f aca="false">N9+SUMIFS(Inputs_Actuals!$E$129:$AB$129,Assumptions!$E$201:$AB$201,"&lt;="&amp;Assumptions!$C$10)</f>
        <v>0</v>
      </c>
      <c r="U9" s="76" t="n">
        <f aca="false">IF(Q9=1,K9+Assumptions!$F$187*MAX(0,K9-S9),K9)</f>
        <v>640</v>
      </c>
      <c r="V9" s="76" t="n">
        <f aca="false">IF(Q9=1,L9+Assumptions!$F$187*MAX(0,L9-T9),L9)</f>
        <v>0</v>
      </c>
      <c r="W9" s="64" t="n">
        <f aca="false">INDEX(Projects!$E$63:$AB$63,Assumptions!$C$10)</f>
        <v>1</v>
      </c>
      <c r="X9" s="67" t="n">
        <f aca="false">SUM(Projects!$E$76:$P$76)</f>
        <v>52000</v>
      </c>
      <c r="Y9" s="67" t="n">
        <f aca="false">SUM(Projects!$E$102:$P$102)</f>
        <v>52000</v>
      </c>
      <c r="Z9" s="67" t="n">
        <f aca="false">INDEX(Projects!$E$128:$AB$128,Assumptions!$C$10)</f>
        <v>0</v>
      </c>
      <c r="AA9" s="67" t="n">
        <f aca="false">INDEX(Projects!$E$141:$AB$141,Assumptions!$C$10)</f>
        <v>0</v>
      </c>
      <c r="AB9" s="67" t="n">
        <f aca="false">U9*Assumptions!$C$134+V9*Assumptions!$C$135</f>
        <v>19200</v>
      </c>
      <c r="AC9" s="67" t="n">
        <f aca="false">IF(E9="FF",F9,(U9+V9)*F9)-AB9</f>
        <v>32800</v>
      </c>
      <c r="AD9" s="64" t="n">
        <f aca="false">IF(IF(E9="FF",F9,(U9+V9)*F9)=0,0,AC9/IF(E9="FF",F9,(U9+V9)*F9))</f>
        <v>0.630769230769231</v>
      </c>
      <c r="AE9" s="140"/>
    </row>
    <row r="10" customFormat="false" ht="15" hidden="false" customHeight="false" outlineLevel="0" collapsed="false">
      <c r="A10" s="132" t="s">
        <v>943</v>
      </c>
      <c r="B10" s="132" t="s">
        <v>837</v>
      </c>
      <c r="C10" s="138" t="str">
        <f aca="false">INDEX(Contract_Register!$B$7:$B$43,MATCH(B10,Contract_Register!$A$7:$A$43,0))</f>
        <v>Conservas Brelmar, S.L.</v>
      </c>
      <c r="D10" s="132" t="s">
        <v>1703</v>
      </c>
      <c r="E10" s="132" t="s">
        <v>1704</v>
      </c>
      <c r="F10" s="134" t="n">
        <v>68</v>
      </c>
      <c r="G10" s="133" t="n">
        <v>46081</v>
      </c>
      <c r="H10" s="133" t="n">
        <v>46295</v>
      </c>
      <c r="I10" s="84" t="n">
        <f aca="false">((YEAR(G10)-YEAR(Assumptions!$C$8))*12+MONTH(G10)-MONTH(Assumptions!$C$8)+1)</f>
        <v>2</v>
      </c>
      <c r="J10" s="84" t="n">
        <f aca="false">((YEAR(H10)-YEAR(Assumptions!$C$8))*12+MONTH(H10)-MONTH(Assumptions!$C$8)+1)</f>
        <v>9</v>
      </c>
      <c r="K10" s="115" t="n">
        <v>880</v>
      </c>
      <c r="L10" s="115" t="n">
        <v>0</v>
      </c>
      <c r="M10" s="115" t="n">
        <v>0</v>
      </c>
      <c r="N10" s="115" t="n">
        <v>0</v>
      </c>
      <c r="O10" s="115" t="n">
        <v>0</v>
      </c>
      <c r="P10" s="115" t="n">
        <v>0</v>
      </c>
      <c r="Q10" s="136" t="n">
        <v>0</v>
      </c>
      <c r="R10" s="138" t="str">
        <f aca="false">INDEX(Contract_Register!$C$7:$C$43,MATCH(B10,Contract_Register!$A$7:$A$43,0))</f>
        <v>ES</v>
      </c>
      <c r="S10" s="76" t="n">
        <f aca="false">M10+SUMIFS(Inputs_Actuals!$E$130:$AB$130,Assumptions!$E$201:$AB$201,"&lt;="&amp;Assumptions!$C$10)</f>
        <v>727</v>
      </c>
      <c r="T10" s="76" t="n">
        <f aca="false">N10+SUMIFS(Inputs_Actuals!$E$131:$AB$131,Assumptions!$E$201:$AB$201,"&lt;="&amp;Assumptions!$C$10)</f>
        <v>0</v>
      </c>
      <c r="U10" s="76" t="n">
        <f aca="false">IF(Q10=1,K10+Assumptions!$F$187*MAX(0,K10-S10),K10)</f>
        <v>880</v>
      </c>
      <c r="V10" s="76" t="n">
        <f aca="false">IF(Q10=1,L10+Assumptions!$F$187*MAX(0,L10-T10),L10)</f>
        <v>0</v>
      </c>
      <c r="W10" s="64" t="n">
        <f aca="false">INDEX(Projects!$E$64:$AB$64,Assumptions!$C$10)</f>
        <v>0.826136363636364</v>
      </c>
      <c r="X10" s="67" t="n">
        <f aca="false">SUM(Projects!$E$77:$P$77)</f>
        <v>59840</v>
      </c>
      <c r="Y10" s="67" t="n">
        <f aca="false">SUM(Projects!$E$103:$P$103)</f>
        <v>59840</v>
      </c>
      <c r="Z10" s="67" t="n">
        <f aca="false">INDEX(Projects!$E$129:$AB$129,Assumptions!$C$10)</f>
        <v>0</v>
      </c>
      <c r="AA10" s="67" t="n">
        <f aca="false">INDEX(Projects!$E$142:$AB$142,Assumptions!$C$10)</f>
        <v>0</v>
      </c>
      <c r="AB10" s="67" t="n">
        <f aca="false">U10*Assumptions!$C$134+V10*Assumptions!$C$135</f>
        <v>26400</v>
      </c>
      <c r="AC10" s="67" t="n">
        <f aca="false">IF(E10="FF",F10,(U10+V10)*F10)-AB10</f>
        <v>33440</v>
      </c>
      <c r="AD10" s="64" t="n">
        <f aca="false">IF(IF(E10="FF",F10,(U10+V10)*F10)=0,0,AC10/IF(E10="FF",F10,(U10+V10)*F10))</f>
        <v>0.558823529411765</v>
      </c>
      <c r="AE10" s="140"/>
    </row>
    <row r="11" customFormat="false" ht="15" hidden="false" customHeight="false" outlineLevel="0" collapsed="false">
      <c r="A11" s="132" t="s">
        <v>944</v>
      </c>
      <c r="B11" s="132" t="s">
        <v>831</v>
      </c>
      <c r="C11" s="138" t="str">
        <f aca="false">INDEX(Contract_Register!$B$7:$B$43,MATCH(B11,Contract_Register!$A$7:$A$43,0))</f>
        <v>Construtora Arvedo, S.A.</v>
      </c>
      <c r="D11" s="132" t="s">
        <v>1705</v>
      </c>
      <c r="E11" s="132" t="s">
        <v>1704</v>
      </c>
      <c r="F11" s="134" t="n">
        <v>60</v>
      </c>
      <c r="G11" s="133" t="n">
        <v>46053</v>
      </c>
      <c r="H11" s="133" t="n">
        <v>46387</v>
      </c>
      <c r="I11" s="84" t="n">
        <f aca="false">((YEAR(G11)-YEAR(Assumptions!$C$8))*12+MONTH(G11)-MONTH(Assumptions!$C$8)+1)</f>
        <v>1</v>
      </c>
      <c r="J11" s="84" t="n">
        <f aca="false">((YEAR(H11)-YEAR(Assumptions!$C$8))*12+MONTH(H11)-MONTH(Assumptions!$C$8)+1)</f>
        <v>12</v>
      </c>
      <c r="K11" s="115" t="n">
        <v>1680</v>
      </c>
      <c r="L11" s="115" t="n">
        <v>0</v>
      </c>
      <c r="M11" s="115" t="n">
        <v>0</v>
      </c>
      <c r="N11" s="115" t="n">
        <v>0</v>
      </c>
      <c r="O11" s="115" t="n">
        <v>0</v>
      </c>
      <c r="P11" s="115" t="n">
        <v>0</v>
      </c>
      <c r="Q11" s="136" t="n">
        <v>0</v>
      </c>
      <c r="R11" s="138" t="str">
        <f aca="false">INDEX(Contract_Register!$C$7:$C$43,MATCH(B11,Contract_Register!$A$7:$A$43,0))</f>
        <v>PT</v>
      </c>
      <c r="S11" s="76" t="n">
        <f aca="false">M11+SUMIFS(Inputs_Actuals!$E$132:$AB$132,Assumptions!$E$201:$AB$201,"&lt;="&amp;Assumptions!$C$10)</f>
        <v>1074</v>
      </c>
      <c r="T11" s="76" t="n">
        <f aca="false">N11+SUMIFS(Inputs_Actuals!$E$133:$AB$133,Assumptions!$E$201:$AB$201,"&lt;="&amp;Assumptions!$C$10)</f>
        <v>0</v>
      </c>
      <c r="U11" s="76" t="n">
        <f aca="false">IF(Q11=1,K11+Assumptions!$F$187*MAX(0,K11-S11),K11)</f>
        <v>1680</v>
      </c>
      <c r="V11" s="76" t="n">
        <f aca="false">IF(Q11=1,L11+Assumptions!$F$187*MAX(0,L11-T11),L11)</f>
        <v>0</v>
      </c>
      <c r="W11" s="64" t="n">
        <f aca="false">INDEX(Projects!$E$65:$AB$65,Assumptions!$C$10)</f>
        <v>0.639285714285714</v>
      </c>
      <c r="X11" s="67" t="n">
        <f aca="false">SUM(Projects!$E$78:$P$78)</f>
        <v>100800</v>
      </c>
      <c r="Y11" s="67" t="n">
        <f aca="false">SUM(Projects!$E$104:$P$104)</f>
        <v>100800</v>
      </c>
      <c r="Z11" s="67" t="n">
        <f aca="false">INDEX(Projects!$E$130:$AB$130,Assumptions!$C$10)</f>
        <v>0</v>
      </c>
      <c r="AA11" s="67" t="n">
        <f aca="false">INDEX(Projects!$E$143:$AB$143,Assumptions!$C$10)</f>
        <v>0</v>
      </c>
      <c r="AB11" s="67" t="n">
        <f aca="false">U11*Assumptions!$C$134+V11*Assumptions!$C$135</f>
        <v>50400</v>
      </c>
      <c r="AC11" s="67" t="n">
        <f aca="false">IF(E11="FF",F11,(U11+V11)*F11)-AB11</f>
        <v>50400</v>
      </c>
      <c r="AD11" s="64" t="n">
        <f aca="false">IF(IF(E11="FF",F11,(U11+V11)*F11)=0,0,AC11/IF(E11="FF",F11,(U11+V11)*F11))</f>
        <v>0.5</v>
      </c>
      <c r="AE11" s="140"/>
    </row>
    <row r="12" customFormat="false" ht="15" hidden="false" customHeight="false" outlineLevel="0" collapsed="false">
      <c r="A12" s="132" t="s">
        <v>945</v>
      </c>
      <c r="B12" s="132" t="s">
        <v>843</v>
      </c>
      <c r="C12" s="138" t="str">
        <f aca="false">INDEX(Contract_Register!$B$7:$B$43,MATCH(B12,Contract_Register!$A$7:$A$43,0))</f>
        <v>Ferroval Automação, Lda</v>
      </c>
      <c r="D12" s="132" t="s">
        <v>1706</v>
      </c>
      <c r="E12" s="132" t="s">
        <v>1699</v>
      </c>
      <c r="F12" s="134" t="n">
        <v>32000</v>
      </c>
      <c r="G12" s="133" t="n">
        <v>46112</v>
      </c>
      <c r="H12" s="133" t="n">
        <v>46173</v>
      </c>
      <c r="I12" s="84" t="n">
        <f aca="false">((YEAR(G12)-YEAR(Assumptions!$C$8))*12+MONTH(G12)-MONTH(Assumptions!$C$8)+1)</f>
        <v>3</v>
      </c>
      <c r="J12" s="84" t="n">
        <f aca="false">((YEAR(H12)-YEAR(Assumptions!$C$8))*12+MONTH(H12)-MONTH(Assumptions!$C$8)+1)</f>
        <v>5</v>
      </c>
      <c r="K12" s="115" t="n">
        <v>400</v>
      </c>
      <c r="L12" s="115" t="n">
        <v>0</v>
      </c>
      <c r="M12" s="115" t="n">
        <v>0</v>
      </c>
      <c r="N12" s="115" t="n">
        <v>0</v>
      </c>
      <c r="O12" s="115" t="n">
        <v>0</v>
      </c>
      <c r="P12" s="115" t="n">
        <v>0</v>
      </c>
      <c r="Q12" s="136" t="n">
        <v>0</v>
      </c>
      <c r="R12" s="138" t="str">
        <f aca="false">INDEX(Contract_Register!$C$7:$C$43,MATCH(B12,Contract_Register!$A$7:$A$43,0))</f>
        <v>PT</v>
      </c>
      <c r="S12" s="76" t="n">
        <f aca="false">M12+SUMIFS(Inputs_Actuals!$E$134:$AB$134,Assumptions!$E$201:$AB$201,"&lt;="&amp;Assumptions!$C$10)</f>
        <v>410</v>
      </c>
      <c r="T12" s="76" t="n">
        <f aca="false">N12+SUMIFS(Inputs_Actuals!$E$135:$AB$135,Assumptions!$E$201:$AB$201,"&lt;="&amp;Assumptions!$C$10)</f>
        <v>0</v>
      </c>
      <c r="U12" s="76" t="n">
        <f aca="false">IF(Q12=1,K12+Assumptions!$F$187*MAX(0,K12-S12),K12)</f>
        <v>400</v>
      </c>
      <c r="V12" s="76" t="n">
        <f aca="false">IF(Q12=1,L12+Assumptions!$F$187*MAX(0,L12-T12),L12)</f>
        <v>0</v>
      </c>
      <c r="W12" s="64" t="n">
        <f aca="false">INDEX(Projects!$E$66:$AB$66,Assumptions!$C$10)</f>
        <v>1</v>
      </c>
      <c r="X12" s="67" t="n">
        <f aca="false">SUM(Projects!$E$79:$P$79)</f>
        <v>32000</v>
      </c>
      <c r="Y12" s="67" t="n">
        <f aca="false">SUM(Projects!$E$105:$P$105)</f>
        <v>32000</v>
      </c>
      <c r="Z12" s="67" t="n">
        <f aca="false">INDEX(Projects!$E$131:$AB$131,Assumptions!$C$10)</f>
        <v>0</v>
      </c>
      <c r="AA12" s="67" t="n">
        <f aca="false">INDEX(Projects!$E$144:$AB$144,Assumptions!$C$10)</f>
        <v>0</v>
      </c>
      <c r="AB12" s="67" t="n">
        <f aca="false">U12*Assumptions!$C$134+V12*Assumptions!$C$135</f>
        <v>12000</v>
      </c>
      <c r="AC12" s="67" t="n">
        <f aca="false">IF(E12="FF",F12,(U12+V12)*F12)-AB12</f>
        <v>20000</v>
      </c>
      <c r="AD12" s="64" t="n">
        <f aca="false">IF(IF(E12="FF",F12,(U12+V12)*F12)=0,0,AC12/IF(E12="FF",F12,(U12+V12)*F12))</f>
        <v>0.625</v>
      </c>
      <c r="AE12" s="140"/>
    </row>
    <row r="13" customFormat="false" ht="15" hidden="false" customHeight="false" outlineLevel="0" collapsed="false">
      <c r="A13" s="132" t="s">
        <v>946</v>
      </c>
      <c r="B13" s="132" t="s">
        <v>819</v>
      </c>
      <c r="C13" s="138" t="str">
        <f aca="false">INDEX(Contract_Register!$B$7:$B$43,MATCH(B13,Contract_Register!$A$7:$A$43,0))</f>
        <v>Quintas Delvara, S.A.</v>
      </c>
      <c r="D13" s="132" t="s">
        <v>1707</v>
      </c>
      <c r="E13" s="132" t="s">
        <v>1699</v>
      </c>
      <c r="F13" s="134" t="n">
        <v>38000</v>
      </c>
      <c r="G13" s="133" t="n">
        <v>46203</v>
      </c>
      <c r="H13" s="133" t="n">
        <v>46295</v>
      </c>
      <c r="I13" s="84" t="n">
        <f aca="false">((YEAR(G13)-YEAR(Assumptions!$C$8))*12+MONTH(G13)-MONTH(Assumptions!$C$8)+1)</f>
        <v>6</v>
      </c>
      <c r="J13" s="84" t="n">
        <f aca="false">((YEAR(H13)-YEAR(Assumptions!$C$8))*12+MONTH(H13)-MONTH(Assumptions!$C$8)+1)</f>
        <v>9</v>
      </c>
      <c r="K13" s="115" t="n">
        <v>470</v>
      </c>
      <c r="L13" s="115" t="n">
        <v>0</v>
      </c>
      <c r="M13" s="115" t="n">
        <v>0</v>
      </c>
      <c r="N13" s="115" t="n">
        <v>0</v>
      </c>
      <c r="O13" s="115" t="n">
        <v>0</v>
      </c>
      <c r="P13" s="115" t="n">
        <v>0</v>
      </c>
      <c r="Q13" s="136" t="n">
        <v>0</v>
      </c>
      <c r="R13" s="138" t="str">
        <f aca="false">INDEX(Contract_Register!$C$7:$C$43,MATCH(B13,Contract_Register!$A$7:$A$43,0))</f>
        <v>PT</v>
      </c>
      <c r="S13" s="76" t="n">
        <f aca="false">M13+SUMIFS(Inputs_Actuals!$E$136:$AB$136,Assumptions!$E$201:$AB$201,"&lt;="&amp;Assumptions!$C$10)</f>
        <v>310</v>
      </c>
      <c r="T13" s="76" t="n">
        <f aca="false">N13+SUMIFS(Inputs_Actuals!$E$137:$AB$137,Assumptions!$E$201:$AB$201,"&lt;="&amp;Assumptions!$C$10)</f>
        <v>0</v>
      </c>
      <c r="U13" s="76" t="n">
        <f aca="false">IF(Q13=1,K13+Assumptions!$F$187*MAX(0,K13-S13),K13)</f>
        <v>470</v>
      </c>
      <c r="V13" s="76" t="n">
        <f aca="false">IF(Q13=1,L13+Assumptions!$F$187*MAX(0,L13-T13),L13)</f>
        <v>0</v>
      </c>
      <c r="W13" s="64" t="n">
        <f aca="false">INDEX(Projects!$E$67:$AB$67,Assumptions!$C$10)</f>
        <v>0.659574473684211</v>
      </c>
      <c r="X13" s="67" t="n">
        <f aca="false">SUM(Projects!$E$80:$P$80)</f>
        <v>38000</v>
      </c>
      <c r="Y13" s="67" t="n">
        <f aca="false">SUM(Projects!$E$106:$P$106)</f>
        <v>38000</v>
      </c>
      <c r="Z13" s="67" t="n">
        <f aca="false">INDEX(Projects!$E$132:$AB$132,Assumptions!$C$10)</f>
        <v>1536.17</v>
      </c>
      <c r="AA13" s="67" t="n">
        <f aca="false">INDEX(Projects!$E$145:$AB$145,Assumptions!$C$10)</f>
        <v>0</v>
      </c>
      <c r="AB13" s="67" t="n">
        <f aca="false">U13*Assumptions!$C$134+V13*Assumptions!$C$135</f>
        <v>14100</v>
      </c>
      <c r="AC13" s="67" t="n">
        <f aca="false">IF(E13="FF",F13,(U13+V13)*F13)-AB13</f>
        <v>23900</v>
      </c>
      <c r="AD13" s="64" t="n">
        <f aca="false">IF(IF(E13="FF",F13,(U13+V13)*F13)=0,0,AC13/IF(E13="FF",F13,(U13+V13)*F13))</f>
        <v>0.628947368421053</v>
      </c>
      <c r="AE13" s="140"/>
    </row>
    <row r="14" customFormat="false" ht="15" hidden="false" customHeight="false" outlineLevel="0" collapsed="false">
      <c r="A14" s="132" t="s">
        <v>947</v>
      </c>
      <c r="B14" s="132" t="s">
        <v>820</v>
      </c>
      <c r="C14" s="138" t="str">
        <f aca="false">INDEX(Contract_Register!$B$7:$B$43,MATCH(B14,Contract_Register!$A$7:$A$43,0))</f>
        <v>Farmácias Oliveda</v>
      </c>
      <c r="D14" s="132" t="s">
        <v>1708</v>
      </c>
      <c r="E14" s="132" t="s">
        <v>1699</v>
      </c>
      <c r="F14" s="134" t="n">
        <v>88000</v>
      </c>
      <c r="G14" s="133" t="n">
        <v>46295</v>
      </c>
      <c r="H14" s="133" t="n">
        <v>46418</v>
      </c>
      <c r="I14" s="84" t="n">
        <f aca="false">((YEAR(G14)-YEAR(Assumptions!$C$8))*12+MONTH(G14)-MONTH(Assumptions!$C$8)+1)</f>
        <v>9</v>
      </c>
      <c r="J14" s="84" t="n">
        <f aca="false">((YEAR(H14)-YEAR(Assumptions!$C$8))*12+MONTH(H14)-MONTH(Assumptions!$C$8)+1)</f>
        <v>13</v>
      </c>
      <c r="K14" s="115" t="n">
        <v>1100</v>
      </c>
      <c r="L14" s="115" t="n">
        <v>0</v>
      </c>
      <c r="M14" s="115" t="n">
        <v>0</v>
      </c>
      <c r="N14" s="115" t="n">
        <v>0</v>
      </c>
      <c r="O14" s="115" t="n">
        <v>0</v>
      </c>
      <c r="P14" s="115" t="n">
        <v>0</v>
      </c>
      <c r="Q14" s="136" t="n">
        <v>0</v>
      </c>
      <c r="R14" s="138" t="str">
        <f aca="false">INDEX(Contract_Register!$C$7:$C$43,MATCH(B14,Contract_Register!$A$7:$A$43,0))</f>
        <v>PT</v>
      </c>
      <c r="S14" s="76" t="n">
        <f aca="false">M14+SUMIFS(Inputs_Actuals!$E$138:$AB$138,Assumptions!$E$201:$AB$201,"&lt;="&amp;Assumptions!$C$10)</f>
        <v>0</v>
      </c>
      <c r="T14" s="76" t="n">
        <f aca="false">N14+SUMIFS(Inputs_Actuals!$E$139:$AB$139,Assumptions!$E$201:$AB$201,"&lt;="&amp;Assumptions!$C$10)</f>
        <v>0</v>
      </c>
      <c r="U14" s="76" t="n">
        <f aca="false">IF(Q14=1,K14+Assumptions!$F$187*MAX(0,K14-S14),K14)</f>
        <v>1100</v>
      </c>
      <c r="V14" s="76" t="n">
        <f aca="false">IF(Q14=1,L14+Assumptions!$F$187*MAX(0,L14-T14),L14)</f>
        <v>0</v>
      </c>
      <c r="W14" s="64" t="n">
        <f aca="false">INDEX(Projects!$E$68:$AB$68,Assumptions!$C$10)</f>
        <v>0</v>
      </c>
      <c r="X14" s="67" t="n">
        <f aca="false">SUM(Projects!$E$81:$P$81)</f>
        <v>70400</v>
      </c>
      <c r="Y14" s="67" t="n">
        <f aca="false">SUM(Projects!$E$107:$P$107)</f>
        <v>61600</v>
      </c>
      <c r="Z14" s="67" t="n">
        <f aca="false">INDEX(Projects!$E$133:$AB$133,Assumptions!$C$10)</f>
        <v>0</v>
      </c>
      <c r="AA14" s="67" t="n">
        <f aca="false">INDEX(Projects!$E$146:$AB$146,Assumptions!$C$10)</f>
        <v>0</v>
      </c>
      <c r="AB14" s="67" t="n">
        <f aca="false">U14*Assumptions!$C$134+V14*Assumptions!$C$135</f>
        <v>33000</v>
      </c>
      <c r="AC14" s="67" t="n">
        <f aca="false">IF(E14="FF",F14,(U14+V14)*F14)-AB14</f>
        <v>55000</v>
      </c>
      <c r="AD14" s="64" t="n">
        <f aca="false">IF(IF(E14="FF",F14,(U14+V14)*F14)=0,0,AC14/IF(E14="FF",F14,(U14+V14)*F14))</f>
        <v>0.625</v>
      </c>
      <c r="AE14" s="140" t="s">
        <v>1709</v>
      </c>
    </row>
    <row r="15" customFormat="false" ht="15" hidden="false" customHeight="false" outlineLevel="0" collapsed="false">
      <c r="A15" s="132" t="s">
        <v>948</v>
      </c>
      <c r="B15" s="132" t="s">
        <v>829</v>
      </c>
      <c r="C15" s="138" t="str">
        <f aca="false">INDEX(Contract_Register!$B$7:$B$43,MATCH(B15,Contract_Register!$A$7:$A$43,0))</f>
        <v>Laboratórios Cendral, Lda</v>
      </c>
      <c r="D15" s="132" t="s">
        <v>1710</v>
      </c>
      <c r="E15" s="132" t="s">
        <v>1704</v>
      </c>
      <c r="F15" s="134" t="n">
        <v>64</v>
      </c>
      <c r="G15" s="133" t="n">
        <v>46053</v>
      </c>
      <c r="H15" s="133" t="n">
        <v>46387</v>
      </c>
      <c r="I15" s="84" t="n">
        <f aca="false">((YEAR(G15)-YEAR(Assumptions!$C$8))*12+MONTH(G15)-MONTH(Assumptions!$C$8)+1)</f>
        <v>1</v>
      </c>
      <c r="J15" s="84" t="n">
        <f aca="false">((YEAR(H15)-YEAR(Assumptions!$C$8))*12+MONTH(H15)-MONTH(Assumptions!$C$8)+1)</f>
        <v>12</v>
      </c>
      <c r="K15" s="115" t="n">
        <v>960</v>
      </c>
      <c r="L15" s="115" t="n">
        <v>0</v>
      </c>
      <c r="M15" s="115" t="n">
        <v>0</v>
      </c>
      <c r="N15" s="115" t="n">
        <v>0</v>
      </c>
      <c r="O15" s="115" t="n">
        <v>0</v>
      </c>
      <c r="P15" s="115" t="n">
        <v>0</v>
      </c>
      <c r="Q15" s="136" t="n">
        <v>0</v>
      </c>
      <c r="R15" s="138" t="str">
        <f aca="false">INDEX(Contract_Register!$C$7:$C$43,MATCH(B15,Contract_Register!$A$7:$A$43,0))</f>
        <v>PT</v>
      </c>
      <c r="S15" s="76" t="n">
        <f aca="false">M15+SUMIFS(Inputs_Actuals!$E$140:$AB$140,Assumptions!$E$201:$AB$201,"&lt;="&amp;Assumptions!$C$10)</f>
        <v>621</v>
      </c>
      <c r="T15" s="76" t="n">
        <f aca="false">N15+SUMIFS(Inputs_Actuals!$E$141:$AB$141,Assumptions!$E$201:$AB$201,"&lt;="&amp;Assumptions!$C$10)</f>
        <v>0</v>
      </c>
      <c r="U15" s="76" t="n">
        <f aca="false">IF(Q15=1,K15+Assumptions!$F$187*MAX(0,K15-S15),K15)</f>
        <v>960</v>
      </c>
      <c r="V15" s="76" t="n">
        <f aca="false">IF(Q15=1,L15+Assumptions!$F$187*MAX(0,L15-T15),L15)</f>
        <v>0</v>
      </c>
      <c r="W15" s="64" t="n">
        <f aca="false">INDEX(Projects!$E$69:$AB$69,Assumptions!$C$10)</f>
        <v>0.646875</v>
      </c>
      <c r="X15" s="67" t="n">
        <f aca="false">SUM(Projects!$E$82:$P$82)</f>
        <v>61440</v>
      </c>
      <c r="Y15" s="67" t="n">
        <f aca="false">SUM(Projects!$E$108:$P$108)</f>
        <v>61440</v>
      </c>
      <c r="Z15" s="67" t="n">
        <f aca="false">INDEX(Projects!$E$134:$AB$134,Assumptions!$C$10)</f>
        <v>0</v>
      </c>
      <c r="AA15" s="67" t="n">
        <f aca="false">INDEX(Projects!$E$147:$AB$147,Assumptions!$C$10)</f>
        <v>0</v>
      </c>
      <c r="AB15" s="67" t="n">
        <f aca="false">U15*Assumptions!$C$134+V15*Assumptions!$C$135</f>
        <v>28800</v>
      </c>
      <c r="AC15" s="67" t="n">
        <f aca="false">IF(E15="FF",F15,(U15+V15)*F15)-AB15</f>
        <v>32640</v>
      </c>
      <c r="AD15" s="64" t="n">
        <f aca="false">IF(IF(E15="FF",F15,(U15+V15)*F15)=0,0,AC15/IF(E15="FF",F15,(U15+V15)*F15))</f>
        <v>0.53125</v>
      </c>
      <c r="AE15" s="140"/>
    </row>
    <row r="16" customFormat="false" ht="15" hidden="false" customHeight="false" outlineLevel="0" collapsed="false">
      <c r="A16" s="132" t="s">
        <v>949</v>
      </c>
      <c r="B16" s="132" t="s">
        <v>845</v>
      </c>
      <c r="C16" s="138" t="str">
        <f aca="false">INDEX(Contract_Register!$B$7:$B$43,MATCH(B16,Contract_Register!$A$7:$A$43,0))</f>
        <v>Mobiliário Tarvela, Lda</v>
      </c>
      <c r="D16" s="132" t="s">
        <v>1706</v>
      </c>
      <c r="E16" s="132" t="s">
        <v>1699</v>
      </c>
      <c r="F16" s="134" t="n">
        <v>36000</v>
      </c>
      <c r="G16" s="133" t="n">
        <v>46234</v>
      </c>
      <c r="H16" s="133" t="n">
        <v>46295</v>
      </c>
      <c r="I16" s="84" t="n">
        <f aca="false">((YEAR(G16)-YEAR(Assumptions!$C$8))*12+MONTH(G16)-MONTH(Assumptions!$C$8)+1)</f>
        <v>7</v>
      </c>
      <c r="J16" s="84" t="n">
        <f aca="false">((YEAR(H16)-YEAR(Assumptions!$C$8))*12+MONTH(H16)-MONTH(Assumptions!$C$8)+1)</f>
        <v>9</v>
      </c>
      <c r="K16" s="115" t="n">
        <v>450</v>
      </c>
      <c r="L16" s="115" t="n">
        <v>0</v>
      </c>
      <c r="M16" s="115" t="n">
        <v>0</v>
      </c>
      <c r="N16" s="115" t="n">
        <v>0</v>
      </c>
      <c r="O16" s="115" t="n">
        <v>0</v>
      </c>
      <c r="P16" s="115" t="n">
        <v>0</v>
      </c>
      <c r="Q16" s="136" t="n">
        <v>0</v>
      </c>
      <c r="R16" s="138" t="str">
        <f aca="false">INDEX(Contract_Register!$C$7:$C$43,MATCH(B16,Contract_Register!$A$7:$A$43,0))</f>
        <v>PT</v>
      </c>
      <c r="S16" s="76" t="n">
        <f aca="false">M16+SUMIFS(Inputs_Actuals!$E$142:$AB$142,Assumptions!$E$201:$AB$201,"&lt;="&amp;Assumptions!$C$10)</f>
        <v>225</v>
      </c>
      <c r="T16" s="76" t="n">
        <f aca="false">N16+SUMIFS(Inputs_Actuals!$E$143:$AB$143,Assumptions!$E$201:$AB$201,"&lt;="&amp;Assumptions!$C$10)</f>
        <v>0</v>
      </c>
      <c r="U16" s="76" t="n">
        <f aca="false">IF(Q16=1,K16+Assumptions!$F$187*MAX(0,K16-S16),K16)</f>
        <v>450</v>
      </c>
      <c r="V16" s="76" t="n">
        <f aca="false">IF(Q16=1,L16+Assumptions!$F$187*MAX(0,L16-T16),L16)</f>
        <v>0</v>
      </c>
      <c r="W16" s="64" t="n">
        <f aca="false">INDEX(Projects!$E$70:$AB$70,Assumptions!$C$10)</f>
        <v>0.5</v>
      </c>
      <c r="X16" s="67" t="n">
        <f aca="false">SUM(Projects!$E$83:$P$83)</f>
        <v>36000</v>
      </c>
      <c r="Y16" s="67" t="n">
        <f aca="false">SUM(Projects!$E$109:$P$109)</f>
        <v>36000</v>
      </c>
      <c r="Z16" s="67" t="n">
        <f aca="false">INDEX(Projects!$E$135:$AB$135,Assumptions!$C$10)</f>
        <v>7200</v>
      </c>
      <c r="AA16" s="67" t="n">
        <f aca="false">INDEX(Projects!$E$148:$AB$148,Assumptions!$C$10)</f>
        <v>0</v>
      </c>
      <c r="AB16" s="67" t="n">
        <f aca="false">U16*Assumptions!$C$134+V16*Assumptions!$C$135</f>
        <v>13500</v>
      </c>
      <c r="AC16" s="67" t="n">
        <f aca="false">IF(E16="FF",F16,(U16+V16)*F16)-AB16</f>
        <v>22500</v>
      </c>
      <c r="AD16" s="64" t="n">
        <f aca="false">IF(IF(E16="FF",F16,(U16+V16)*F16)=0,0,AC16/IF(E16="FF",F16,(U16+V16)*F16))</f>
        <v>0.625</v>
      </c>
      <c r="AE16" s="140"/>
    </row>
    <row r="17" customFormat="false" ht="23.85" hidden="false" customHeight="false" outlineLevel="0" collapsed="false">
      <c r="A17" s="132" t="s">
        <v>950</v>
      </c>
      <c r="B17" s="132" t="s">
        <v>838</v>
      </c>
      <c r="C17" s="138" t="str">
        <f aca="false">INDEX(Contract_Register!$B$7:$B$43,MATCH(B17,Contract_Register!$A$7:$A$43,0))</f>
        <v>Talleres Brañoso, S.L.</v>
      </c>
      <c r="D17" s="132" t="s">
        <v>1711</v>
      </c>
      <c r="E17" s="132" t="s">
        <v>1699</v>
      </c>
      <c r="F17" s="134" t="n">
        <v>72000</v>
      </c>
      <c r="G17" s="133" t="n">
        <v>46053</v>
      </c>
      <c r="H17" s="133" t="n">
        <v>46203</v>
      </c>
      <c r="I17" s="84" t="n">
        <f aca="false">((YEAR(G17)-YEAR(Assumptions!$C$8))*12+MONTH(G17)-MONTH(Assumptions!$C$8)+1)</f>
        <v>1</v>
      </c>
      <c r="J17" s="84" t="n">
        <f aca="false">((YEAR(H17)-YEAR(Assumptions!$C$8))*12+MONTH(H17)-MONTH(Assumptions!$C$8)+1)</f>
        <v>6</v>
      </c>
      <c r="K17" s="115" t="n">
        <v>880</v>
      </c>
      <c r="L17" s="115" t="n">
        <v>0</v>
      </c>
      <c r="M17" s="115" t="n">
        <v>0</v>
      </c>
      <c r="N17" s="115" t="n">
        <v>0</v>
      </c>
      <c r="O17" s="115" t="n">
        <v>0</v>
      </c>
      <c r="P17" s="115" t="n">
        <v>0</v>
      </c>
      <c r="Q17" s="136" t="n">
        <v>0</v>
      </c>
      <c r="R17" s="138" t="str">
        <f aca="false">INDEX(Contract_Register!$C$7:$C$43,MATCH(B17,Contract_Register!$A$7:$A$43,0))</f>
        <v>ES</v>
      </c>
      <c r="S17" s="76" t="n">
        <f aca="false">M17+SUMIFS(Inputs_Actuals!$E$144:$AB$144,Assumptions!$E$201:$AB$201,"&lt;="&amp;Assumptions!$C$10)</f>
        <v>880</v>
      </c>
      <c r="T17" s="76" t="n">
        <f aca="false">N17+SUMIFS(Inputs_Actuals!$E$145:$AB$145,Assumptions!$E$201:$AB$201,"&lt;="&amp;Assumptions!$C$10)</f>
        <v>0</v>
      </c>
      <c r="U17" s="76" t="n">
        <f aca="false">IF(Q17=1,K17+Assumptions!$F$187*MAX(0,K17-S17),K17)</f>
        <v>880</v>
      </c>
      <c r="V17" s="76" t="n">
        <f aca="false">IF(Q17=1,L17+Assumptions!$F$187*MAX(0,L17-T17),L17)</f>
        <v>0</v>
      </c>
      <c r="W17" s="64" t="n">
        <f aca="false">INDEX(Projects!$E$71:$AB$71,Assumptions!$C$10)</f>
        <v>1</v>
      </c>
      <c r="X17" s="67" t="n">
        <f aca="false">SUM(Projects!$E$84:$P$84)</f>
        <v>72000</v>
      </c>
      <c r="Y17" s="67" t="n">
        <f aca="false">SUM(Projects!$E$110:$P$110)</f>
        <v>72000</v>
      </c>
      <c r="Z17" s="67" t="n">
        <f aca="false">INDEX(Projects!$E$136:$AB$136,Assumptions!$C$10)</f>
        <v>0</v>
      </c>
      <c r="AA17" s="67" t="n">
        <f aca="false">INDEX(Projects!$E$149:$AB$149,Assumptions!$C$10)</f>
        <v>0</v>
      </c>
      <c r="AB17" s="67" t="n">
        <f aca="false">U17*Assumptions!$C$134+V17*Assumptions!$C$135</f>
        <v>26400</v>
      </c>
      <c r="AC17" s="67" t="n">
        <f aca="false">IF(E17="FF",F17,(U17+V17)*F17)-AB17</f>
        <v>45600</v>
      </c>
      <c r="AD17" s="64" t="n">
        <f aca="false">IF(IF(E17="FF",F17,(U17+V17)*F17)=0,0,AC17/IF(E17="FF",F17,(U17+V17)*F17))</f>
        <v>0.633333333333333</v>
      </c>
      <c r="AE17" s="140" t="s">
        <v>1712</v>
      </c>
    </row>
    <row r="18" customFormat="false" ht="15" hidden="false" customHeight="false" outlineLevel="0" collapsed="false">
      <c r="A18" s="132" t="s">
        <v>951</v>
      </c>
      <c r="B18" s="132" t="s">
        <v>844</v>
      </c>
      <c r="C18" s="138" t="str">
        <f aca="false">INDEX(Contract_Register!$B$7:$B$43,MATCH(B18,Contract_Register!$A$7:$A$43,0))</f>
        <v>Clínica Dentária Rosmel</v>
      </c>
      <c r="D18" s="132" t="s">
        <v>1706</v>
      </c>
      <c r="E18" s="132" t="s">
        <v>1699</v>
      </c>
      <c r="F18" s="134" t="n">
        <v>24000</v>
      </c>
      <c r="G18" s="133" t="n">
        <v>46173</v>
      </c>
      <c r="H18" s="133" t="n">
        <v>46234</v>
      </c>
      <c r="I18" s="84" t="n">
        <f aca="false">((YEAR(G18)-YEAR(Assumptions!$C$8))*12+MONTH(G18)-MONTH(Assumptions!$C$8)+1)</f>
        <v>5</v>
      </c>
      <c r="J18" s="84" t="n">
        <f aca="false">((YEAR(H18)-YEAR(Assumptions!$C$8))*12+MONTH(H18)-MONTH(Assumptions!$C$8)+1)</f>
        <v>7</v>
      </c>
      <c r="K18" s="115" t="n">
        <v>300</v>
      </c>
      <c r="L18" s="115" t="n">
        <v>0</v>
      </c>
      <c r="M18" s="115" t="n">
        <v>0</v>
      </c>
      <c r="N18" s="115" t="n">
        <v>0</v>
      </c>
      <c r="O18" s="115" t="n">
        <v>0</v>
      </c>
      <c r="P18" s="115" t="n">
        <v>0</v>
      </c>
      <c r="Q18" s="136" t="n">
        <v>0</v>
      </c>
      <c r="R18" s="138" t="str">
        <f aca="false">INDEX(Contract_Register!$C$7:$C$43,MATCH(B18,Contract_Register!$A$7:$A$43,0))</f>
        <v>PT</v>
      </c>
      <c r="S18" s="76" t="n">
        <f aca="false">M18+SUMIFS(Inputs_Actuals!$E$146:$AB$146,Assumptions!$E$201:$AB$201,"&lt;="&amp;Assumptions!$C$10)</f>
        <v>305</v>
      </c>
      <c r="T18" s="76" t="n">
        <f aca="false">N18+SUMIFS(Inputs_Actuals!$E$147:$AB$147,Assumptions!$E$201:$AB$201,"&lt;="&amp;Assumptions!$C$10)</f>
        <v>0</v>
      </c>
      <c r="U18" s="76" t="n">
        <f aca="false">IF(Q18=1,K18+Assumptions!$F$187*MAX(0,K18-S18),K18)</f>
        <v>300</v>
      </c>
      <c r="V18" s="76" t="n">
        <f aca="false">IF(Q18=1,L18+Assumptions!$F$187*MAX(0,L18-T18),L18)</f>
        <v>0</v>
      </c>
      <c r="W18" s="64" t="n">
        <f aca="false">INDEX(Projects!$E$72:$AB$72,Assumptions!$C$10)</f>
        <v>1</v>
      </c>
      <c r="X18" s="67" t="n">
        <f aca="false">SUM(Projects!$E$85:$P$85)</f>
        <v>24000</v>
      </c>
      <c r="Y18" s="67" t="n">
        <f aca="false">SUM(Projects!$E$111:$P$111)</f>
        <v>24000</v>
      </c>
      <c r="Z18" s="67" t="n">
        <f aca="false">INDEX(Projects!$E$137:$AB$137,Assumptions!$C$10)</f>
        <v>0</v>
      </c>
      <c r="AA18" s="67" t="n">
        <f aca="false">INDEX(Projects!$E$150:$AB$150,Assumptions!$C$10)</f>
        <v>0</v>
      </c>
      <c r="AB18" s="67" t="n">
        <f aca="false">U18*Assumptions!$C$134+V18*Assumptions!$C$135</f>
        <v>9000</v>
      </c>
      <c r="AC18" s="67" t="n">
        <f aca="false">IF(E18="FF",F18,(U18+V18)*F18)-AB18</f>
        <v>15000</v>
      </c>
      <c r="AD18" s="64" t="n">
        <f aca="false">IF(IF(E18="FF",F18,(U18+V18)*F18)=0,0,AC18/IF(E18="FF",F18,(U18+V18)*F18))</f>
        <v>0.625</v>
      </c>
      <c r="AE18" s="140"/>
    </row>
    <row r="19" customFormat="false" ht="15" hidden="false" customHeight="false" outlineLevel="0" collapsed="false">
      <c r="A19" s="87" t="s">
        <v>1395</v>
      </c>
      <c r="M19" s="88" t="n">
        <f aca="false">SUM(M7:M18)</f>
        <v>175</v>
      </c>
      <c r="N19" s="88" t="n">
        <f aca="false">SUM(N7:N18)</f>
        <v>0</v>
      </c>
      <c r="O19" s="88" t="n">
        <f aca="false">SUM(O7:O18)</f>
        <v>13487.8</v>
      </c>
      <c r="P19" s="88" t="n">
        <f aca="false">SUM(P7:P18)</f>
        <v>47400</v>
      </c>
      <c r="S19" s="88" t="n">
        <f aca="false">SUM(S7:S18)</f>
        <v>7387</v>
      </c>
      <c r="T19" s="88" t="n">
        <f aca="false">SUM(T7:T18)</f>
        <v>980</v>
      </c>
      <c r="X19" s="88" t="n">
        <f aca="false">SUM(X7:X18)</f>
        <v>754992.2</v>
      </c>
      <c r="Y19" s="88" t="n">
        <f aca="false">SUM(Y7:Y18)</f>
        <v>712280</v>
      </c>
      <c r="Z19" s="88" t="n">
        <f aca="false">SUM(Z7:Z18)</f>
        <v>11219.03</v>
      </c>
      <c r="AA19" s="88" t="n">
        <f aca="false">SUM(AA7:AA18)</f>
        <v>2507.14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12"/>
    <col collapsed="false" customWidth="true" hidden="false" outlineLevel="0" max="7" min="3" style="0" width="13"/>
    <col collapsed="false" customWidth="true" hidden="false" outlineLevel="0" max="8" min="8" style="0" width="70"/>
  </cols>
  <sheetData>
    <row r="1" customFormat="false" ht="15" hidden="false" customHeight="false" outlineLevel="0" collapsed="false">
      <c r="A1" s="19" t="s">
        <v>1713</v>
      </c>
    </row>
    <row r="2" customFormat="false" ht="17.35" hidden="false" customHeight="false" outlineLevel="0" collapsed="false">
      <c r="A2" s="20" t="s">
        <v>1714</v>
      </c>
    </row>
    <row r="3" customFormat="false" ht="15" hidden="false" customHeight="false" outlineLevel="0" collapsed="false">
      <c r="A3" s="24" t="s">
        <v>1715</v>
      </c>
    </row>
    <row r="5" customFormat="false" ht="15" hidden="false" customHeight="false" outlineLevel="0" collapsed="false">
      <c r="A5" s="21" t="s">
        <v>1716</v>
      </c>
      <c r="B5" s="22"/>
      <c r="C5" s="22"/>
      <c r="D5" s="22"/>
      <c r="E5" s="22"/>
      <c r="F5" s="22"/>
      <c r="G5" s="22"/>
      <c r="H5" s="22"/>
    </row>
    <row r="6" customFormat="false" ht="15" hidden="false" customHeight="false" outlineLevel="0" collapsed="false">
      <c r="A6" s="27" t="s">
        <v>1717</v>
      </c>
      <c r="B6" s="63"/>
      <c r="C6" s="132" t="s">
        <v>1718</v>
      </c>
      <c r="D6" s="63" t="s">
        <v>1719</v>
      </c>
    </row>
    <row r="7" customFormat="false" ht="15" hidden="false" customHeight="false" outlineLevel="0" collapsed="false">
      <c r="A7" s="27" t="s">
        <v>1720</v>
      </c>
      <c r="B7" s="63"/>
      <c r="C7" s="132" t="s">
        <v>617</v>
      </c>
    </row>
    <row r="8" customFormat="false" ht="15" hidden="false" customHeight="false" outlineLevel="0" collapsed="false">
      <c r="A8" s="27" t="s">
        <v>1721</v>
      </c>
      <c r="B8" s="63" t="s">
        <v>1722</v>
      </c>
      <c r="C8" s="125" t="n">
        <v>46053</v>
      </c>
      <c r="D8" s="63" t="s">
        <v>1723</v>
      </c>
    </row>
    <row r="9" customFormat="false" ht="15" hidden="false" customHeight="false" outlineLevel="0" collapsed="false">
      <c r="A9" s="27" t="s">
        <v>1724</v>
      </c>
      <c r="B9" s="63" t="s">
        <v>1722</v>
      </c>
      <c r="C9" s="125" t="n">
        <v>46265</v>
      </c>
      <c r="D9" s="63" t="s">
        <v>1725</v>
      </c>
    </row>
    <row r="10" customFormat="false" ht="15" hidden="false" customHeight="false" outlineLevel="0" collapsed="false">
      <c r="A10" s="27" t="s">
        <v>1726</v>
      </c>
      <c r="B10" s="63" t="s">
        <v>1727</v>
      </c>
      <c r="C10" s="35" t="n">
        <f aca="false">MATCH(Assumptions!$C$9,Assumptions!$E$200:$AB$200,0)</f>
        <v>8</v>
      </c>
    </row>
    <row r="11" customFormat="false" ht="15" hidden="false" customHeight="false" outlineLevel="0" collapsed="false">
      <c r="A11" s="27" t="s">
        <v>1728</v>
      </c>
      <c r="B11" s="63" t="s">
        <v>1729</v>
      </c>
      <c r="C11" s="142" t="n">
        <v>1</v>
      </c>
      <c r="D11" s="63" t="s">
        <v>1730</v>
      </c>
    </row>
    <row r="12" customFormat="false" ht="15" hidden="false" customHeight="false" outlineLevel="0" collapsed="false">
      <c r="A12" s="27" t="s">
        <v>1731</v>
      </c>
      <c r="B12" s="63" t="s">
        <v>1727</v>
      </c>
      <c r="C12" s="143" t="str">
        <f aca="false">CHOOSE(Assumptions!$C$11,"Base","Downside","Upside")</f>
        <v>Base</v>
      </c>
    </row>
    <row r="13" customFormat="false" ht="15" hidden="false" customHeight="false" outlineLevel="0" collapsed="false">
      <c r="A13" s="27" t="s">
        <v>386</v>
      </c>
      <c r="B13" s="63" t="s">
        <v>617</v>
      </c>
      <c r="C13" s="115" t="n">
        <v>400000</v>
      </c>
      <c r="D13" s="63" t="s">
        <v>1732</v>
      </c>
    </row>
    <row r="14" customFormat="false" ht="15" hidden="false" customHeight="false" outlineLevel="0" collapsed="false">
      <c r="A14" s="27" t="s">
        <v>1733</v>
      </c>
      <c r="B14" s="63" t="s">
        <v>617</v>
      </c>
      <c r="C14" s="115" t="n">
        <v>300000</v>
      </c>
      <c r="D14" s="63" t="s">
        <v>1734</v>
      </c>
    </row>
    <row r="15" customFormat="false" ht="15" hidden="false" customHeight="false" outlineLevel="0" collapsed="false">
      <c r="A15" s="27" t="s">
        <v>1735</v>
      </c>
      <c r="B15" s="63" t="s">
        <v>1727</v>
      </c>
      <c r="C15" s="120" t="n">
        <f aca="false">Assumptions!$C$9</f>
        <v>46265</v>
      </c>
    </row>
    <row r="17" customFormat="false" ht="15" hidden="false" customHeight="false" outlineLevel="0" collapsed="false">
      <c r="A17" s="21" t="s">
        <v>1736</v>
      </c>
      <c r="B17" s="22"/>
      <c r="C17" s="22"/>
      <c r="D17" s="22"/>
      <c r="E17" s="22"/>
      <c r="F17" s="22"/>
      <c r="G17" s="22"/>
      <c r="H17" s="22"/>
    </row>
    <row r="18" customFormat="false" ht="15" hidden="false" customHeight="false" outlineLevel="0" collapsed="false">
      <c r="A18" s="27" t="s">
        <v>1737</v>
      </c>
      <c r="B18" s="63" t="s">
        <v>1738</v>
      </c>
      <c r="C18" s="137" t="n">
        <v>0.23</v>
      </c>
      <c r="D18" s="63" t="s">
        <v>1739</v>
      </c>
    </row>
    <row r="19" customFormat="false" ht="15" hidden="false" customHeight="false" outlineLevel="0" collapsed="false">
      <c r="A19" s="27" t="s">
        <v>1740</v>
      </c>
      <c r="D19" s="63" t="s">
        <v>1741</v>
      </c>
    </row>
    <row r="20" customFormat="false" ht="15" hidden="false" customHeight="false" outlineLevel="0" collapsed="false">
      <c r="A20" s="27" t="s">
        <v>1742</v>
      </c>
      <c r="D20" s="63" t="s">
        <v>1743</v>
      </c>
    </row>
    <row r="21" customFormat="false" ht="15" hidden="false" customHeight="false" outlineLevel="0" collapsed="false">
      <c r="A21" s="27" t="s">
        <v>1744</v>
      </c>
      <c r="D21" s="63" t="s">
        <v>1745</v>
      </c>
    </row>
    <row r="22" customFormat="false" ht="15" hidden="false" customHeight="false" outlineLevel="0" collapsed="false">
      <c r="A22" s="27" t="s">
        <v>1746</v>
      </c>
      <c r="B22" s="63" t="s">
        <v>1738</v>
      </c>
      <c r="C22" s="137" t="n">
        <v>0.19</v>
      </c>
      <c r="D22" s="63" t="s">
        <v>1747</v>
      </c>
    </row>
    <row r="23" customFormat="false" ht="15" hidden="false" customHeight="false" outlineLevel="0" collapsed="false">
      <c r="A23" s="27" t="s">
        <v>1748</v>
      </c>
      <c r="B23" s="63" t="s">
        <v>1738</v>
      </c>
      <c r="C23" s="137" t="n">
        <v>0.18</v>
      </c>
    </row>
    <row r="24" customFormat="false" ht="15" hidden="false" customHeight="false" outlineLevel="0" collapsed="false">
      <c r="A24" s="27" t="s">
        <v>1749</v>
      </c>
      <c r="B24" s="63" t="s">
        <v>1738</v>
      </c>
      <c r="C24" s="137" t="n">
        <v>0.15</v>
      </c>
      <c r="D24" s="63" t="s">
        <v>1750</v>
      </c>
    </row>
    <row r="25" customFormat="false" ht="15" hidden="false" customHeight="false" outlineLevel="0" collapsed="false">
      <c r="A25" s="27" t="s">
        <v>1751</v>
      </c>
      <c r="B25" s="63" t="s">
        <v>617</v>
      </c>
      <c r="C25" s="115" t="n">
        <v>50000</v>
      </c>
    </row>
    <row r="26" customFormat="false" ht="15" hidden="false" customHeight="false" outlineLevel="0" collapsed="false">
      <c r="A26" s="27" t="s">
        <v>1752</v>
      </c>
      <c r="B26" s="63" t="s">
        <v>1738</v>
      </c>
      <c r="C26" s="137" t="n">
        <v>0.015</v>
      </c>
      <c r="D26" s="63" t="s">
        <v>1753</v>
      </c>
    </row>
    <row r="27" customFormat="false" ht="15" hidden="false" customHeight="false" outlineLevel="0" collapsed="false">
      <c r="A27" s="27" t="s">
        <v>1754</v>
      </c>
      <c r="B27" s="63" t="s">
        <v>617</v>
      </c>
      <c r="C27" s="115" t="n">
        <v>230793.45</v>
      </c>
      <c r="D27" s="63" t="s">
        <v>1755</v>
      </c>
    </row>
    <row r="28" customFormat="false" ht="15" hidden="false" customHeight="false" outlineLevel="0" collapsed="false">
      <c r="A28" s="27" t="s">
        <v>1756</v>
      </c>
      <c r="B28" s="63" t="s">
        <v>1738</v>
      </c>
      <c r="C28" s="137" t="n">
        <v>0.95</v>
      </c>
      <c r="D28" s="63" t="s">
        <v>1757</v>
      </c>
    </row>
    <row r="29" customFormat="false" ht="15" hidden="false" customHeight="false" outlineLevel="0" collapsed="false">
      <c r="A29" s="27" t="s">
        <v>1758</v>
      </c>
      <c r="B29" s="63" t="s">
        <v>1759</v>
      </c>
      <c r="C29" s="136" t="n">
        <v>0</v>
      </c>
      <c r="D29" s="63" t="s">
        <v>1760</v>
      </c>
    </row>
    <row r="30" customFormat="false" ht="15" hidden="false" customHeight="false" outlineLevel="0" collapsed="false">
      <c r="A30" s="27" t="s">
        <v>1761</v>
      </c>
      <c r="B30" s="63" t="s">
        <v>617</v>
      </c>
      <c r="C30" s="115" t="n">
        <v>105752.96</v>
      </c>
      <c r="D30" s="63" t="s">
        <v>1762</v>
      </c>
    </row>
    <row r="31" customFormat="false" ht="15" hidden="false" customHeight="false" outlineLevel="0" collapsed="false">
      <c r="A31" s="27" t="s">
        <v>1763</v>
      </c>
      <c r="B31" s="63" t="s">
        <v>634</v>
      </c>
      <c r="C31" s="133" t="n">
        <v>46660</v>
      </c>
      <c r="D31" s="63" t="s">
        <v>1764</v>
      </c>
    </row>
    <row r="32" customFormat="false" ht="15" hidden="false" customHeight="false" outlineLevel="0" collapsed="false">
      <c r="A32" s="27" t="s">
        <v>1765</v>
      </c>
      <c r="B32" s="63" t="s">
        <v>1738</v>
      </c>
      <c r="C32" s="137" t="n">
        <v>0.25</v>
      </c>
      <c r="D32" s="63" t="s">
        <v>1766</v>
      </c>
    </row>
    <row r="33" customFormat="false" ht="15" hidden="false" customHeight="false" outlineLevel="0" collapsed="false">
      <c r="A33" s="27" t="s">
        <v>1767</v>
      </c>
      <c r="B33" s="63" t="s">
        <v>1738</v>
      </c>
      <c r="C33" s="137" t="n">
        <v>0.28</v>
      </c>
      <c r="D33" s="63" t="s">
        <v>1768</v>
      </c>
    </row>
    <row r="34" customFormat="false" ht="15" hidden="false" customHeight="false" outlineLevel="0" collapsed="false">
      <c r="A34" s="27" t="s">
        <v>1769</v>
      </c>
      <c r="D34" s="63" t="s">
        <v>1770</v>
      </c>
    </row>
    <row r="36" customFormat="false" ht="15" hidden="false" customHeight="false" outlineLevel="0" collapsed="false">
      <c r="A36" s="21" t="s">
        <v>1771</v>
      </c>
      <c r="B36" s="22"/>
      <c r="C36" s="22"/>
      <c r="D36" s="22"/>
      <c r="E36" s="22"/>
      <c r="F36" s="22"/>
      <c r="G36" s="22"/>
      <c r="H36" s="22"/>
    </row>
    <row r="37" customFormat="false" ht="15" hidden="false" customHeight="false" outlineLevel="0" collapsed="false">
      <c r="A37" s="27" t="s">
        <v>1772</v>
      </c>
      <c r="B37" s="63" t="s">
        <v>1738</v>
      </c>
      <c r="C37" s="135" t="n">
        <v>0.2375</v>
      </c>
      <c r="D37" s="63" t="s">
        <v>1773</v>
      </c>
    </row>
    <row r="38" customFormat="false" ht="15" hidden="false" customHeight="false" outlineLevel="0" collapsed="false">
      <c r="A38" s="27" t="s">
        <v>1774</v>
      </c>
      <c r="B38" s="63" t="s">
        <v>1738</v>
      </c>
      <c r="C38" s="135" t="n">
        <v>0.11</v>
      </c>
    </row>
    <row r="39" customFormat="false" ht="15" hidden="false" customHeight="false" outlineLevel="0" collapsed="false">
      <c r="A39" s="27" t="s">
        <v>1775</v>
      </c>
      <c r="D39" s="63" t="s">
        <v>1776</v>
      </c>
    </row>
    <row r="40" customFormat="false" ht="15" hidden="false" customHeight="false" outlineLevel="0" collapsed="false">
      <c r="A40" s="27" t="s">
        <v>1777</v>
      </c>
      <c r="D40" s="63" t="s">
        <v>1778</v>
      </c>
    </row>
    <row r="41" customFormat="false" ht="15" hidden="false" customHeight="false" outlineLevel="0" collapsed="false">
      <c r="A41" s="27" t="s">
        <v>1779</v>
      </c>
      <c r="B41" s="63" t="s">
        <v>617</v>
      </c>
      <c r="C41" s="134" t="n">
        <v>10</v>
      </c>
      <c r="D41" s="63" t="s">
        <v>1780</v>
      </c>
    </row>
    <row r="42" customFormat="false" ht="15" hidden="false" customHeight="false" outlineLevel="0" collapsed="false">
      <c r="A42" s="27" t="s">
        <v>1781</v>
      </c>
      <c r="B42" s="63" t="s">
        <v>1782</v>
      </c>
      <c r="C42" s="144" t="n">
        <v>21</v>
      </c>
    </row>
    <row r="43" customFormat="false" ht="15" hidden="false" customHeight="false" outlineLevel="0" collapsed="false">
      <c r="A43" s="27" t="s">
        <v>1783</v>
      </c>
      <c r="B43" s="63" t="s">
        <v>1782</v>
      </c>
      <c r="C43" s="136" t="n">
        <v>22</v>
      </c>
    </row>
    <row r="44" customFormat="false" ht="15" hidden="false" customHeight="false" outlineLevel="0" collapsed="false">
      <c r="A44" s="27" t="s">
        <v>1784</v>
      </c>
      <c r="B44" s="63" t="s">
        <v>1738</v>
      </c>
      <c r="C44" s="135" t="n">
        <v>0.009</v>
      </c>
      <c r="D44" s="63" t="s">
        <v>1785</v>
      </c>
    </row>
    <row r="45" customFormat="false" ht="15" hidden="false" customHeight="false" outlineLevel="0" collapsed="false">
      <c r="A45" s="27" t="s">
        <v>1786</v>
      </c>
      <c r="B45" s="63" t="s">
        <v>617</v>
      </c>
      <c r="C45" s="115" t="n">
        <v>32</v>
      </c>
      <c r="D45" s="63" t="s">
        <v>1787</v>
      </c>
    </row>
    <row r="46" customFormat="false" ht="15" hidden="false" customHeight="false" outlineLevel="0" collapsed="false">
      <c r="A46" s="27" t="s">
        <v>1788</v>
      </c>
      <c r="D46" s="63" t="s">
        <v>1789</v>
      </c>
    </row>
    <row r="47" customFormat="false" ht="15" hidden="false" customHeight="false" outlineLevel="0" collapsed="false">
      <c r="A47" s="27" t="s">
        <v>1790</v>
      </c>
      <c r="B47" s="63" t="s">
        <v>617</v>
      </c>
      <c r="C47" s="115" t="n">
        <v>920</v>
      </c>
      <c r="D47" s="63" t="s">
        <v>1791</v>
      </c>
    </row>
    <row r="48" customFormat="false" ht="30" hidden="false" customHeight="true" outlineLevel="0" collapsed="false">
      <c r="A48" s="25" t="s">
        <v>1792</v>
      </c>
      <c r="B48" s="26" t="s">
        <v>1793</v>
      </c>
      <c r="C48" s="26" t="s">
        <v>1794</v>
      </c>
      <c r="D48" s="26" t="s">
        <v>1795</v>
      </c>
      <c r="E48" s="26"/>
      <c r="F48" s="26"/>
      <c r="G48" s="26"/>
      <c r="H48" s="26" t="s">
        <v>1796</v>
      </c>
    </row>
    <row r="49" customFormat="false" ht="15" hidden="false" customHeight="false" outlineLevel="0" collapsed="false">
      <c r="A49" s="134" t="n">
        <v>0</v>
      </c>
      <c r="B49" s="134" t="n">
        <v>1154</v>
      </c>
      <c r="C49" s="135" t="n">
        <v>0.157</v>
      </c>
      <c r="D49" s="134" t="n">
        <v>94.71</v>
      </c>
      <c r="H49" s="63" t="s">
        <v>1797</v>
      </c>
    </row>
    <row r="50" customFormat="false" ht="15" hidden="false" customHeight="false" outlineLevel="0" collapsed="false">
      <c r="A50" s="134" t="n">
        <v>1154.01</v>
      </c>
      <c r="B50" s="134" t="n">
        <v>1212</v>
      </c>
      <c r="C50" s="135" t="n">
        <v>0.212</v>
      </c>
      <c r="D50" s="134" t="n">
        <v>158.18</v>
      </c>
    </row>
    <row r="51" customFormat="false" ht="15" hidden="false" customHeight="false" outlineLevel="0" collapsed="false">
      <c r="A51" s="134" t="n">
        <v>1212.01</v>
      </c>
      <c r="B51" s="134" t="n">
        <v>1819</v>
      </c>
      <c r="C51" s="135" t="n">
        <v>0.241</v>
      </c>
      <c r="D51" s="134" t="n">
        <v>193.33</v>
      </c>
    </row>
    <row r="52" customFormat="false" ht="15" hidden="false" customHeight="false" outlineLevel="0" collapsed="false">
      <c r="A52" s="134" t="n">
        <v>1819.01</v>
      </c>
      <c r="B52" s="134" t="n">
        <v>2119</v>
      </c>
      <c r="C52" s="135" t="n">
        <v>0.311</v>
      </c>
      <c r="D52" s="134" t="n">
        <v>320.66</v>
      </c>
    </row>
    <row r="53" customFormat="false" ht="15" hidden="false" customHeight="false" outlineLevel="0" collapsed="false">
      <c r="A53" s="134" t="n">
        <v>2119.01</v>
      </c>
      <c r="B53" s="134" t="n">
        <v>2499</v>
      </c>
      <c r="C53" s="135" t="n">
        <v>0.349</v>
      </c>
      <c r="D53" s="134" t="n">
        <v>401.19</v>
      </c>
    </row>
    <row r="54" customFormat="false" ht="15" hidden="false" customHeight="false" outlineLevel="0" collapsed="false">
      <c r="A54" s="134" t="n">
        <v>2499.01</v>
      </c>
      <c r="B54" s="134" t="n">
        <v>3305</v>
      </c>
      <c r="C54" s="135" t="n">
        <v>0.3836</v>
      </c>
      <c r="D54" s="134" t="n">
        <v>487.66</v>
      </c>
    </row>
    <row r="55" customFormat="false" ht="15" hidden="false" customHeight="false" outlineLevel="0" collapsed="false">
      <c r="A55" s="134" t="n">
        <v>3305.01</v>
      </c>
      <c r="B55" s="134" t="n">
        <v>5547</v>
      </c>
      <c r="C55" s="135" t="n">
        <v>0.3969</v>
      </c>
      <c r="D55" s="134" t="n">
        <v>531.62</v>
      </c>
    </row>
    <row r="56" customFormat="false" ht="15" hidden="false" customHeight="false" outlineLevel="0" collapsed="false">
      <c r="A56" s="134" t="n">
        <v>5547.01</v>
      </c>
      <c r="B56" s="134" t="n">
        <v>20221</v>
      </c>
      <c r="C56" s="135" t="n">
        <v>0.4495</v>
      </c>
      <c r="D56" s="134" t="n">
        <v>823.4</v>
      </c>
    </row>
    <row r="57" customFormat="false" ht="15" hidden="false" customHeight="false" outlineLevel="0" collapsed="false">
      <c r="A57" s="134" t="n">
        <v>20221.01</v>
      </c>
      <c r="B57" s="134" t="n">
        <v>999999</v>
      </c>
      <c r="C57" s="135" t="n">
        <v>0.4717</v>
      </c>
      <c r="D57" s="134" t="n">
        <v>1272.31</v>
      </c>
    </row>
    <row r="59" customFormat="false" ht="15" hidden="false" customHeight="false" outlineLevel="0" collapsed="false">
      <c r="A59" s="21" t="s">
        <v>1798</v>
      </c>
      <c r="B59" s="22"/>
      <c r="C59" s="22"/>
      <c r="D59" s="22"/>
      <c r="E59" s="22"/>
      <c r="F59" s="22"/>
      <c r="G59" s="22"/>
      <c r="H59" s="22"/>
    </row>
    <row r="60" customFormat="false" ht="42" hidden="false" customHeight="true" outlineLevel="0" collapsed="false">
      <c r="A60" s="25" t="s">
        <v>1799</v>
      </c>
      <c r="B60" s="26" t="s">
        <v>1583</v>
      </c>
      <c r="C60" s="26" t="s">
        <v>1800</v>
      </c>
      <c r="D60" s="26" t="s">
        <v>1801</v>
      </c>
      <c r="E60" s="26" t="s">
        <v>1802</v>
      </c>
      <c r="F60" s="26" t="s">
        <v>1803</v>
      </c>
      <c r="G60" s="26" t="s">
        <v>1804</v>
      </c>
      <c r="H60" s="26" t="s">
        <v>1805</v>
      </c>
    </row>
    <row r="61" customFormat="false" ht="15" hidden="false" customHeight="false" outlineLevel="0" collapsed="false">
      <c r="A61" s="0" t="s">
        <v>1094</v>
      </c>
      <c r="B61" s="0" t="s">
        <v>1806</v>
      </c>
      <c r="C61" s="0" t="s">
        <v>1807</v>
      </c>
      <c r="D61" s="115" t="n">
        <v>1200</v>
      </c>
      <c r="E61" s="136" t="n">
        <v>12</v>
      </c>
      <c r="F61" s="145" t="n">
        <f aca="false">MAX(0,(D61)*INDEX(Assumptions!$C$49:$C$57,MATCH(D61,Assumptions!$A$49:$A$57,1))-INDEX(Assumptions!$D$49:$D$57,MATCH(D61,Assumptions!$A$49:$A$57,1)))/(D61)</f>
        <v>0.0801833333333333</v>
      </c>
      <c r="G61" s="146" t="s">
        <v>1808</v>
      </c>
    </row>
    <row r="62" customFormat="false" ht="15" hidden="false" customHeight="false" outlineLevel="0" collapsed="false">
      <c r="A62" s="0" t="s">
        <v>1096</v>
      </c>
      <c r="B62" s="0" t="s">
        <v>1809</v>
      </c>
      <c r="C62" s="0" t="s">
        <v>1807</v>
      </c>
      <c r="D62" s="115" t="n">
        <v>1650</v>
      </c>
      <c r="E62" s="136" t="n">
        <v>12</v>
      </c>
      <c r="F62" s="145" t="n">
        <f aca="false">MAX(0,(D62)*INDEX(Assumptions!$C$49:$C$57,MATCH(D62,Assumptions!$A$49:$A$57,1))-INDEX(Assumptions!$D$49:$D$57,MATCH(D62,Assumptions!$A$49:$A$57,1)))/(D62)</f>
        <v>0.123830303030303</v>
      </c>
      <c r="G62" s="146" t="s">
        <v>1808</v>
      </c>
    </row>
    <row r="63" customFormat="false" ht="15" hidden="false" customHeight="false" outlineLevel="0" collapsed="false">
      <c r="A63" s="0" t="s">
        <v>1097</v>
      </c>
      <c r="B63" s="0" t="s">
        <v>1810</v>
      </c>
      <c r="C63" s="0" t="s">
        <v>1807</v>
      </c>
      <c r="D63" s="115" t="n">
        <v>2350</v>
      </c>
      <c r="E63" s="136" t="n">
        <v>6</v>
      </c>
      <c r="F63" s="145" t="n">
        <f aca="false">MAX(0,(D63)*INDEX(Assumptions!$C$49:$C$57,MATCH(D63,Assumptions!$A$49:$A$57,1))-INDEX(Assumptions!$D$49:$D$57,MATCH(D63,Assumptions!$A$49:$A$57,1)))/(D63)</f>
        <v>0.17828085106383</v>
      </c>
      <c r="G63" s="146" t="s">
        <v>1808</v>
      </c>
    </row>
    <row r="64" customFormat="false" ht="15" hidden="false" customHeight="false" outlineLevel="0" collapsed="false">
      <c r="A64" s="0" t="s">
        <v>1098</v>
      </c>
      <c r="B64" s="0" t="s">
        <v>1811</v>
      </c>
      <c r="C64" s="0" t="s">
        <v>1807</v>
      </c>
      <c r="D64" s="115" t="n">
        <v>1300</v>
      </c>
      <c r="E64" s="136" t="n">
        <v>6</v>
      </c>
      <c r="F64" s="145" t="n">
        <f aca="false">MAX(0,(D64)*INDEX(Assumptions!$C$49:$C$57,MATCH(D64,Assumptions!$A$49:$A$57,1))-INDEX(Assumptions!$D$49:$D$57,MATCH(D64,Assumptions!$A$49:$A$57,1)))/(D64)</f>
        <v>0.0922846153846154</v>
      </c>
      <c r="G64" s="146" t="s">
        <v>1808</v>
      </c>
    </row>
    <row r="65" customFormat="false" ht="15" hidden="false" customHeight="false" outlineLevel="0" collapsed="false">
      <c r="A65" s="0" t="s">
        <v>1099</v>
      </c>
      <c r="B65" s="0" t="s">
        <v>1812</v>
      </c>
      <c r="C65" s="0" t="s">
        <v>1807</v>
      </c>
      <c r="D65" s="115" t="n">
        <v>1750</v>
      </c>
      <c r="E65" s="136" t="n">
        <v>3</v>
      </c>
      <c r="F65" s="145" t="n">
        <f aca="false">MAX(0,(D65)*INDEX(Assumptions!$C$49:$C$57,MATCH(D65,Assumptions!$A$49:$A$57,1))-INDEX(Assumptions!$D$49:$D$57,MATCH(D65,Assumptions!$A$49:$A$57,1)))/(D65)</f>
        <v>0.130525714285714</v>
      </c>
      <c r="G65" s="146" t="s">
        <v>1808</v>
      </c>
    </row>
    <row r="66" customFormat="false" ht="15" hidden="false" customHeight="false" outlineLevel="0" collapsed="false">
      <c r="A66" s="0" t="s">
        <v>1100</v>
      </c>
      <c r="B66" s="0" t="s">
        <v>1813</v>
      </c>
      <c r="C66" s="0" t="s">
        <v>1807</v>
      </c>
      <c r="D66" s="115" t="n">
        <v>2650</v>
      </c>
      <c r="E66" s="136" t="n">
        <v>2</v>
      </c>
      <c r="F66" s="145" t="n">
        <f aca="false">MAX(0,(D66)*INDEX(Assumptions!$C$49:$C$57,MATCH(D66,Assumptions!$A$49:$A$57,1))-INDEX(Assumptions!$D$49:$D$57,MATCH(D66,Assumptions!$A$49:$A$57,1)))/(D66)</f>
        <v>0.199577358490566</v>
      </c>
      <c r="G66" s="146" t="s">
        <v>1814</v>
      </c>
    </row>
    <row r="67" customFormat="false" ht="15" hidden="false" customHeight="false" outlineLevel="0" collapsed="false">
      <c r="A67" s="0" t="s">
        <v>1101</v>
      </c>
      <c r="B67" s="0" t="s">
        <v>1815</v>
      </c>
      <c r="C67" s="0" t="s">
        <v>1816</v>
      </c>
      <c r="D67" s="115" t="n">
        <v>2150</v>
      </c>
      <c r="E67" s="136" t="n">
        <v>10</v>
      </c>
      <c r="F67" s="145" t="n">
        <f aca="false">MAX(0,(D67)*INDEX(Assumptions!$C$49:$C$57,MATCH(D67,Assumptions!$A$49:$A$57,1))-INDEX(Assumptions!$D$49:$D$57,MATCH(D67,Assumptions!$A$49:$A$57,1)))/(D67)</f>
        <v>0.1624</v>
      </c>
      <c r="G67" s="146" t="s">
        <v>1814</v>
      </c>
    </row>
    <row r="68" customFormat="false" ht="15" hidden="false" customHeight="false" outlineLevel="0" collapsed="false">
      <c r="A68" s="0" t="s">
        <v>1102</v>
      </c>
      <c r="B68" s="0" t="s">
        <v>1817</v>
      </c>
      <c r="C68" s="0" t="s">
        <v>1816</v>
      </c>
      <c r="D68" s="115" t="n">
        <v>2850</v>
      </c>
      <c r="E68" s="136" t="n">
        <v>2</v>
      </c>
      <c r="F68" s="145" t="n">
        <f aca="false">MAX(0,(D68)*INDEX(Assumptions!$C$49:$C$57,MATCH(D68,Assumptions!$A$49:$A$57,1))-INDEX(Assumptions!$D$49:$D$57,MATCH(D68,Assumptions!$A$49:$A$57,1)))/(D68)</f>
        <v>0.212491228070175</v>
      </c>
      <c r="G68" s="146" t="s">
        <v>1814</v>
      </c>
    </row>
    <row r="69" customFormat="false" ht="15" hidden="false" customHeight="false" outlineLevel="0" collapsed="false">
      <c r="A69" s="0" t="s">
        <v>1103</v>
      </c>
      <c r="B69" s="0" t="s">
        <v>1818</v>
      </c>
      <c r="C69" s="0" t="s">
        <v>1819</v>
      </c>
      <c r="D69" s="115" t="n">
        <v>3600</v>
      </c>
      <c r="E69" s="136" t="n">
        <v>1</v>
      </c>
      <c r="F69" s="145" t="n">
        <f aca="false">MAX(0,(D69)*INDEX(Assumptions!$C$49:$C$57,MATCH(D69,Assumptions!$A$49:$A$57,1))-INDEX(Assumptions!$D$49:$D$57,MATCH(D69,Assumptions!$A$49:$A$57,1)))/(D69)</f>
        <v>0.249227777777778</v>
      </c>
      <c r="G69" s="146" t="s">
        <v>1814</v>
      </c>
    </row>
    <row r="70" customFormat="false" ht="15" hidden="false" customHeight="false" outlineLevel="0" collapsed="false">
      <c r="A70" s="0" t="s">
        <v>1104</v>
      </c>
      <c r="B70" s="0" t="s">
        <v>1820</v>
      </c>
      <c r="C70" s="0" t="s">
        <v>1819</v>
      </c>
      <c r="D70" s="115" t="n">
        <v>2000</v>
      </c>
      <c r="E70" s="136" t="n">
        <v>3</v>
      </c>
      <c r="F70" s="145" t="n">
        <f aca="false">MAX(0,(D70)*INDEX(Assumptions!$C$49:$C$57,MATCH(D70,Assumptions!$A$49:$A$57,1))-INDEX(Assumptions!$D$49:$D$57,MATCH(D70,Assumptions!$A$49:$A$57,1)))/(D70)</f>
        <v>0.15067</v>
      </c>
      <c r="G70" s="146" t="s">
        <v>1814</v>
      </c>
    </row>
    <row r="71" customFormat="false" ht="15" hidden="false" customHeight="false" outlineLevel="0" collapsed="false">
      <c r="A71" s="0" t="s">
        <v>1105</v>
      </c>
      <c r="B71" s="0" t="s">
        <v>1821</v>
      </c>
      <c r="C71" s="0" t="s">
        <v>1819</v>
      </c>
      <c r="D71" s="115" t="n">
        <v>2600</v>
      </c>
      <c r="E71" s="136" t="n">
        <v>1</v>
      </c>
      <c r="F71" s="145" t="n">
        <f aca="false">MAX(0,(D71)*INDEX(Assumptions!$C$49:$C$57,MATCH(D71,Assumptions!$A$49:$A$57,1))-INDEX(Assumptions!$D$49:$D$57,MATCH(D71,Assumptions!$A$49:$A$57,1)))/(D71)</f>
        <v>0.196038461538462</v>
      </c>
      <c r="G71" s="146" t="s">
        <v>1814</v>
      </c>
    </row>
    <row r="72" customFormat="false" ht="15" hidden="false" customHeight="false" outlineLevel="0" collapsed="false">
      <c r="A72" s="0" t="s">
        <v>1106</v>
      </c>
      <c r="B72" s="0" t="s">
        <v>1822</v>
      </c>
      <c r="C72" s="0" t="s">
        <v>1819</v>
      </c>
      <c r="D72" s="115" t="n">
        <v>1800</v>
      </c>
      <c r="E72" s="136" t="n">
        <v>1</v>
      </c>
      <c r="F72" s="145" t="n">
        <f aca="false">MAX(0,(D72)*INDEX(Assumptions!$C$49:$C$57,MATCH(D72,Assumptions!$A$49:$A$57,1))-INDEX(Assumptions!$D$49:$D$57,MATCH(D72,Assumptions!$A$49:$A$57,1)))/(D72)</f>
        <v>0.133594444444444</v>
      </c>
      <c r="G72" s="146" t="s">
        <v>1814</v>
      </c>
    </row>
    <row r="73" customFormat="false" ht="15" hidden="false" customHeight="false" outlineLevel="0" collapsed="false">
      <c r="A73" s="0" t="s">
        <v>1107</v>
      </c>
      <c r="B73" s="0" t="s">
        <v>1823</v>
      </c>
      <c r="C73" s="0" t="s">
        <v>1824</v>
      </c>
      <c r="D73" s="115" t="n">
        <v>5000</v>
      </c>
      <c r="E73" s="136" t="n">
        <v>2</v>
      </c>
      <c r="F73" s="145" t="n">
        <f aca="false">MAX(0,(D73)*INDEX(Assumptions!$C$49:$C$57,MATCH(D73,Assumptions!$A$49:$A$57,1))-INDEX(Assumptions!$D$49:$D$57,MATCH(D73,Assumptions!$A$49:$A$57,1)))/(D73)</f>
        <v>0.290576</v>
      </c>
      <c r="G73" s="146" t="s">
        <v>1814</v>
      </c>
    </row>
    <row r="74" customFormat="false" ht="15" hidden="false" customHeight="false" outlineLevel="0" collapsed="false">
      <c r="A74" s="0" t="s">
        <v>1108</v>
      </c>
      <c r="B74" s="0" t="s">
        <v>1825</v>
      </c>
      <c r="C74" s="0" t="s">
        <v>1824</v>
      </c>
      <c r="D74" s="115" t="n">
        <v>2000</v>
      </c>
      <c r="E74" s="136" t="n">
        <v>3</v>
      </c>
      <c r="F74" s="145" t="n">
        <f aca="false">MAX(0,(D74)*INDEX(Assumptions!$C$49:$C$57,MATCH(D74,Assumptions!$A$49:$A$57,1))-INDEX(Assumptions!$D$49:$D$57,MATCH(D74,Assumptions!$A$49:$A$57,1)))/(D74)</f>
        <v>0.15067</v>
      </c>
      <c r="G74" s="146" t="s">
        <v>1814</v>
      </c>
    </row>
    <row r="75" customFormat="false" ht="15" hidden="false" customHeight="false" outlineLevel="0" collapsed="false">
      <c r="A75" s="0" t="s">
        <v>1109</v>
      </c>
      <c r="B75" s="0" t="s">
        <v>1826</v>
      </c>
      <c r="C75" s="0" t="s">
        <v>1824</v>
      </c>
      <c r="D75" s="115" t="n">
        <v>1700</v>
      </c>
      <c r="E75" s="136" t="n">
        <v>1</v>
      </c>
      <c r="F75" s="145" t="n">
        <f aca="false">MAX(0,(D75)*INDEX(Assumptions!$C$49:$C$57,MATCH(D75,Assumptions!$A$49:$A$57,1))-INDEX(Assumptions!$D$49:$D$57,MATCH(D75,Assumptions!$A$49:$A$57,1)))/(D75)</f>
        <v>0.127276470588235</v>
      </c>
      <c r="G75" s="146" t="s">
        <v>1814</v>
      </c>
    </row>
    <row r="76" customFormat="false" ht="15" hidden="false" customHeight="false" outlineLevel="0" collapsed="false">
      <c r="A76" s="0" t="s">
        <v>1110</v>
      </c>
      <c r="B76" s="0" t="s">
        <v>1827</v>
      </c>
      <c r="C76" s="0" t="s">
        <v>1824</v>
      </c>
      <c r="D76" s="115" t="n">
        <v>1300</v>
      </c>
      <c r="E76" s="136" t="n">
        <v>2</v>
      </c>
      <c r="F76" s="145" t="n">
        <f aca="false">MAX(0,(D76)*INDEX(Assumptions!$C$49:$C$57,MATCH(D76,Assumptions!$A$49:$A$57,1))-INDEX(Assumptions!$D$49:$D$57,MATCH(D76,Assumptions!$A$49:$A$57,1)))/(D76)</f>
        <v>0.0922846153846154</v>
      </c>
      <c r="G76" s="146" t="s">
        <v>1814</v>
      </c>
    </row>
    <row r="77" customFormat="false" ht="15" hidden="false" customHeight="false" outlineLevel="0" collapsed="false">
      <c r="A77" s="0" t="s">
        <v>1111</v>
      </c>
      <c r="B77" s="0" t="s">
        <v>1828</v>
      </c>
      <c r="C77" s="0" t="s">
        <v>1824</v>
      </c>
      <c r="D77" s="115" t="n">
        <v>1150</v>
      </c>
      <c r="E77" s="136" t="n">
        <v>1</v>
      </c>
      <c r="F77" s="145" t="n">
        <f aca="false">MAX(0,(D77)*INDEX(Assumptions!$C$49:$C$57,MATCH(D77,Assumptions!$A$49:$A$57,1))-INDEX(Assumptions!$D$49:$D$57,MATCH(D77,Assumptions!$A$49:$A$57,1)))/(D77)</f>
        <v>0.0746434782608696</v>
      </c>
      <c r="G77" s="146" t="s">
        <v>1814</v>
      </c>
    </row>
    <row r="78" customFormat="false" ht="15" hidden="false" customHeight="false" outlineLevel="0" collapsed="false">
      <c r="A78" s="63" t="s">
        <v>1829</v>
      </c>
    </row>
    <row r="79" customFormat="false" ht="15" hidden="false" customHeight="false" outlineLevel="0" collapsed="false">
      <c r="A79" s="27" t="s">
        <v>1830</v>
      </c>
      <c r="B79" s="63" t="s">
        <v>1738</v>
      </c>
      <c r="C79" s="137" t="n">
        <v>0.14</v>
      </c>
      <c r="D79" s="63" t="s">
        <v>1831</v>
      </c>
    </row>
    <row r="80" customFormat="false" ht="15" hidden="false" customHeight="false" outlineLevel="0" collapsed="false">
      <c r="A80" s="27" t="s">
        <v>1832</v>
      </c>
      <c r="B80" s="63" t="s">
        <v>1738</v>
      </c>
      <c r="C80" s="137" t="n">
        <v>0.1</v>
      </c>
    </row>
    <row r="81" customFormat="false" ht="15" hidden="false" customHeight="false" outlineLevel="0" collapsed="false">
      <c r="A81" s="27" t="s">
        <v>1833</v>
      </c>
      <c r="B81" s="63" t="s">
        <v>1738</v>
      </c>
      <c r="C81" s="137" t="n">
        <v>0.15</v>
      </c>
    </row>
    <row r="82" customFormat="false" ht="15" hidden="false" customHeight="false" outlineLevel="0" collapsed="false">
      <c r="A82" s="27" t="s">
        <v>1834</v>
      </c>
      <c r="B82" s="63" t="s">
        <v>1738</v>
      </c>
      <c r="C82" s="137" t="n">
        <v>0.06</v>
      </c>
    </row>
    <row r="83" customFormat="false" ht="15" hidden="false" customHeight="false" outlineLevel="0" collapsed="false">
      <c r="A83" s="27" t="s">
        <v>1835</v>
      </c>
      <c r="B83" s="63" t="s">
        <v>617</v>
      </c>
      <c r="C83" s="115" t="n">
        <v>1300</v>
      </c>
    </row>
    <row r="84" customFormat="false" ht="15" hidden="false" customHeight="false" outlineLevel="0" collapsed="false">
      <c r="A84" s="27" t="s">
        <v>1836</v>
      </c>
      <c r="B84" s="63" t="s">
        <v>617</v>
      </c>
      <c r="C84" s="115" t="n">
        <v>1800</v>
      </c>
    </row>
    <row r="85" customFormat="false" ht="15" hidden="false" customHeight="false" outlineLevel="0" collapsed="false">
      <c r="A85" s="27" t="s">
        <v>1837</v>
      </c>
      <c r="B85" s="63" t="s">
        <v>617</v>
      </c>
      <c r="C85" s="115" t="n">
        <v>2200</v>
      </c>
    </row>
    <row r="86" customFormat="false" ht="15" hidden="false" customHeight="false" outlineLevel="0" collapsed="false">
      <c r="A86" s="27" t="s">
        <v>1838</v>
      </c>
      <c r="B86" s="63" t="s">
        <v>1738</v>
      </c>
      <c r="C86" s="137" t="n">
        <v>0.06</v>
      </c>
      <c r="D86" s="63" t="s">
        <v>1839</v>
      </c>
    </row>
    <row r="87" customFormat="false" ht="15" hidden="false" customHeight="false" outlineLevel="0" collapsed="false">
      <c r="A87" s="27" t="s">
        <v>1840</v>
      </c>
      <c r="B87" s="63" t="s">
        <v>1738</v>
      </c>
      <c r="C87" s="137" t="n">
        <v>0.03</v>
      </c>
      <c r="D87" s="63" t="s">
        <v>1841</v>
      </c>
    </row>
    <row r="89" customFormat="false" ht="15" hidden="false" customHeight="false" outlineLevel="0" collapsed="false">
      <c r="A89" s="21" t="s">
        <v>1842</v>
      </c>
      <c r="B89" s="22"/>
      <c r="C89" s="22"/>
      <c r="D89" s="22"/>
      <c r="E89" s="22"/>
      <c r="F89" s="22"/>
      <c r="G89" s="22"/>
      <c r="H89" s="22"/>
    </row>
    <row r="90" customFormat="false" ht="15" hidden="false" customHeight="false" outlineLevel="0" collapsed="false">
      <c r="A90" s="27" t="s">
        <v>1843</v>
      </c>
      <c r="B90" s="63" t="s">
        <v>1844</v>
      </c>
      <c r="C90" s="136" t="n">
        <v>36</v>
      </c>
      <c r="D90" s="63" t="s">
        <v>1845</v>
      </c>
    </row>
    <row r="91" customFormat="false" ht="15" hidden="false" customHeight="false" outlineLevel="0" collapsed="false">
      <c r="A91" s="27" t="s">
        <v>1846</v>
      </c>
      <c r="B91" s="63" t="s">
        <v>1738</v>
      </c>
      <c r="C91" s="137" t="n">
        <v>0.026</v>
      </c>
      <c r="D91" s="63" t="s">
        <v>1847</v>
      </c>
    </row>
    <row r="92" customFormat="false" ht="15" hidden="false" customHeight="false" outlineLevel="0" collapsed="false">
      <c r="A92" s="27" t="s">
        <v>1848</v>
      </c>
      <c r="B92" s="63" t="s">
        <v>617</v>
      </c>
      <c r="C92" s="115" t="n">
        <v>45</v>
      </c>
      <c r="D92" s="63" t="s">
        <v>1849</v>
      </c>
    </row>
    <row r="93" customFormat="false" ht="15" hidden="false" customHeight="false" outlineLevel="0" collapsed="false">
      <c r="A93" s="27" t="s">
        <v>1850</v>
      </c>
      <c r="B93" s="63" t="s">
        <v>1851</v>
      </c>
      <c r="C93" s="137" t="n">
        <v>0.85</v>
      </c>
      <c r="D93" s="63" t="s">
        <v>1852</v>
      </c>
    </row>
    <row r="94" customFormat="false" ht="15" hidden="false" customHeight="false" outlineLevel="0" collapsed="false">
      <c r="A94" s="27" t="s">
        <v>1853</v>
      </c>
      <c r="B94" s="63" t="s">
        <v>617</v>
      </c>
      <c r="C94" s="134" t="n">
        <v>20.5</v>
      </c>
    </row>
    <row r="95" customFormat="false" ht="15" hidden="false" customHeight="false" outlineLevel="0" collapsed="false">
      <c r="A95" s="27" t="s">
        <v>1854</v>
      </c>
      <c r="B95" s="63" t="s">
        <v>617</v>
      </c>
      <c r="C95" s="134" t="n">
        <v>17.3</v>
      </c>
    </row>
    <row r="96" customFormat="false" ht="15" hidden="false" customHeight="false" outlineLevel="0" collapsed="false">
      <c r="A96" s="27" t="s">
        <v>1855</v>
      </c>
      <c r="B96" s="63" t="s">
        <v>1738</v>
      </c>
      <c r="C96" s="137" t="n">
        <v>0.03</v>
      </c>
      <c r="D96" s="63" t="s">
        <v>1856</v>
      </c>
    </row>
    <row r="97" customFormat="false" ht="15" hidden="false" customHeight="false" outlineLevel="0" collapsed="false">
      <c r="A97" s="27" t="s">
        <v>1857</v>
      </c>
      <c r="B97" s="63" t="s">
        <v>1858</v>
      </c>
      <c r="C97" s="147" t="n">
        <v>0.42</v>
      </c>
      <c r="D97" s="63" t="s">
        <v>1859</v>
      </c>
    </row>
    <row r="98" customFormat="false" ht="15" hidden="false" customHeight="false" outlineLevel="0" collapsed="false">
      <c r="A98" s="27" t="s">
        <v>1860</v>
      </c>
      <c r="B98" s="63" t="s">
        <v>1858</v>
      </c>
      <c r="C98" s="147" t="n">
        <v>0.17</v>
      </c>
    </row>
    <row r="99" customFormat="false" ht="15" hidden="false" customHeight="false" outlineLevel="0" collapsed="false">
      <c r="A99" s="27" t="s">
        <v>1861</v>
      </c>
      <c r="B99" s="63" t="s">
        <v>1851</v>
      </c>
      <c r="C99" s="137" t="n">
        <v>0.03</v>
      </c>
      <c r="D99" s="63" t="s">
        <v>1862</v>
      </c>
    </row>
    <row r="100" customFormat="false" ht="15" hidden="false" customHeight="false" outlineLevel="0" collapsed="false">
      <c r="A100" s="27" t="s">
        <v>1863</v>
      </c>
      <c r="B100" s="63" t="s">
        <v>1864</v>
      </c>
      <c r="C100" s="147" t="n">
        <v>3.5</v>
      </c>
    </row>
    <row r="101" customFormat="false" ht="15" hidden="false" customHeight="false" outlineLevel="0" collapsed="false">
      <c r="A101" s="27" t="s">
        <v>1865</v>
      </c>
      <c r="B101" s="63" t="s">
        <v>1851</v>
      </c>
      <c r="C101" s="137" t="n">
        <v>0.12</v>
      </c>
    </row>
    <row r="102" customFormat="false" ht="15" hidden="false" customHeight="false" outlineLevel="0" collapsed="false">
      <c r="A102" s="27" t="s">
        <v>1866</v>
      </c>
      <c r="B102" s="63" t="s">
        <v>1864</v>
      </c>
      <c r="C102" s="147" t="n">
        <v>1.8</v>
      </c>
    </row>
    <row r="103" customFormat="false" ht="15" hidden="false" customHeight="false" outlineLevel="0" collapsed="false">
      <c r="A103" s="27" t="s">
        <v>1867</v>
      </c>
      <c r="B103" s="63" t="s">
        <v>1851</v>
      </c>
      <c r="C103" s="137" t="n">
        <v>0.55</v>
      </c>
    </row>
    <row r="104" customFormat="false" ht="15" hidden="false" customHeight="false" outlineLevel="0" collapsed="false">
      <c r="A104" s="27" t="s">
        <v>1868</v>
      </c>
      <c r="B104" s="63" t="s">
        <v>1864</v>
      </c>
      <c r="C104" s="147" t="n">
        <v>0.9</v>
      </c>
    </row>
    <row r="105" customFormat="false" ht="15" hidden="false" customHeight="false" outlineLevel="0" collapsed="false">
      <c r="A105" s="27" t="s">
        <v>1869</v>
      </c>
      <c r="B105" s="63" t="s">
        <v>1851</v>
      </c>
      <c r="C105" s="137" t="n">
        <v>0.3</v>
      </c>
    </row>
    <row r="106" customFormat="false" ht="15" hidden="false" customHeight="false" outlineLevel="0" collapsed="false">
      <c r="A106" s="27" t="s">
        <v>1870</v>
      </c>
      <c r="B106" s="63" t="s">
        <v>1864</v>
      </c>
      <c r="C106" s="147" t="n">
        <v>0.45</v>
      </c>
    </row>
    <row r="107" customFormat="false" ht="15" hidden="false" customHeight="false" outlineLevel="0" collapsed="false">
      <c r="A107" s="27" t="s">
        <v>1871</v>
      </c>
      <c r="B107" s="63" t="s">
        <v>1727</v>
      </c>
      <c r="C107" s="148" t="n">
        <f aca="false">Assumptions!$C$99*Assumptions!$C$100+Assumptions!$C$101*Assumptions!$C$102+Assumptions!$C$103*Assumptions!$C$104+Assumptions!$C$105*Assumptions!$C$106</f>
        <v>0.951</v>
      </c>
    </row>
    <row r="108" customFormat="false" ht="15" hidden="false" customHeight="false" outlineLevel="0" collapsed="false">
      <c r="A108" s="27" t="s">
        <v>1872</v>
      </c>
      <c r="B108" s="63" t="s">
        <v>1864</v>
      </c>
      <c r="C108" s="147" t="n">
        <v>1.15</v>
      </c>
    </row>
    <row r="109" customFormat="false" ht="15" hidden="false" customHeight="false" outlineLevel="0" collapsed="false">
      <c r="A109" s="27" t="s">
        <v>1873</v>
      </c>
      <c r="B109" s="63" t="s">
        <v>1864</v>
      </c>
      <c r="C109" s="147" t="n">
        <v>0.19</v>
      </c>
    </row>
    <row r="110" customFormat="false" ht="15" hidden="false" customHeight="false" outlineLevel="0" collapsed="false">
      <c r="A110" s="27" t="s">
        <v>1874</v>
      </c>
      <c r="B110" s="63" t="s">
        <v>1851</v>
      </c>
      <c r="C110" s="137" t="n">
        <v>0.5</v>
      </c>
    </row>
    <row r="111" customFormat="false" ht="15" hidden="false" customHeight="false" outlineLevel="0" collapsed="false">
      <c r="A111" s="27" t="s">
        <v>1875</v>
      </c>
      <c r="B111" s="63" t="s">
        <v>1864</v>
      </c>
      <c r="C111" s="144" t="n">
        <v>2</v>
      </c>
    </row>
    <row r="112" customFormat="false" ht="15" hidden="false" customHeight="false" outlineLevel="0" collapsed="false">
      <c r="A112" s="27" t="s">
        <v>1876</v>
      </c>
      <c r="B112" s="63" t="s">
        <v>1864</v>
      </c>
      <c r="C112" s="136" t="n">
        <v>126</v>
      </c>
      <c r="D112" s="63" t="s">
        <v>1877</v>
      </c>
    </row>
    <row r="113" customFormat="false" ht="15" hidden="false" customHeight="false" outlineLevel="0" collapsed="false">
      <c r="A113" s="27" t="s">
        <v>1878</v>
      </c>
      <c r="B113" s="63" t="s">
        <v>1851</v>
      </c>
      <c r="C113" s="137" t="n">
        <v>0.985</v>
      </c>
      <c r="D113" s="63" t="s">
        <v>1879</v>
      </c>
    </row>
    <row r="114" customFormat="false" ht="15" hidden="false" customHeight="false" outlineLevel="0" collapsed="false">
      <c r="A114" s="27" t="s">
        <v>1880</v>
      </c>
      <c r="B114" s="63" t="s">
        <v>1851</v>
      </c>
      <c r="C114" s="137" t="n">
        <v>0.8</v>
      </c>
    </row>
    <row r="115" customFormat="false" ht="15" hidden="false" customHeight="false" outlineLevel="0" collapsed="false">
      <c r="A115" s="27" t="s">
        <v>1881</v>
      </c>
      <c r="B115" s="63" t="s">
        <v>637</v>
      </c>
      <c r="C115" s="147" t="n">
        <v>0.65</v>
      </c>
    </row>
    <row r="116" customFormat="false" ht="15" hidden="false" customHeight="false" outlineLevel="0" collapsed="false">
      <c r="A116" s="27" t="s">
        <v>1882</v>
      </c>
      <c r="B116" s="63" t="s">
        <v>1851</v>
      </c>
      <c r="C116" s="137" t="n">
        <v>0.96</v>
      </c>
    </row>
    <row r="117" customFormat="false" ht="15" hidden="false" customHeight="false" outlineLevel="0" collapsed="false">
      <c r="A117" s="27" t="s">
        <v>1883</v>
      </c>
      <c r="B117" s="63" t="s">
        <v>1851</v>
      </c>
      <c r="C117" s="137" t="n">
        <v>0.1</v>
      </c>
      <c r="D117" s="63" t="s">
        <v>1884</v>
      </c>
    </row>
    <row r="118" customFormat="false" ht="15" hidden="false" customHeight="false" outlineLevel="0" collapsed="false">
      <c r="A118" s="27" t="s">
        <v>1885</v>
      </c>
      <c r="B118" s="63" t="s">
        <v>1851</v>
      </c>
      <c r="C118" s="137" t="n">
        <v>0.05</v>
      </c>
      <c r="D118" s="63" t="s">
        <v>1886</v>
      </c>
    </row>
    <row r="119" customFormat="false" ht="15" hidden="false" customHeight="false" outlineLevel="0" collapsed="false">
      <c r="A119" s="27" t="s">
        <v>1887</v>
      </c>
      <c r="B119" s="63" t="s">
        <v>1851</v>
      </c>
      <c r="C119" s="137" t="n">
        <v>0.24</v>
      </c>
      <c r="D119" s="63" t="s">
        <v>1888</v>
      </c>
    </row>
    <row r="120" customFormat="false" ht="15" hidden="false" customHeight="false" outlineLevel="0" collapsed="false">
      <c r="A120" s="27" t="s">
        <v>1889</v>
      </c>
      <c r="B120" s="63" t="s">
        <v>1851</v>
      </c>
      <c r="C120" s="137" t="n">
        <v>0.88</v>
      </c>
    </row>
    <row r="121" customFormat="false" ht="15" hidden="false" customHeight="false" outlineLevel="0" collapsed="false">
      <c r="A121" s="27" t="s">
        <v>1890</v>
      </c>
      <c r="B121" s="63" t="s">
        <v>1851</v>
      </c>
      <c r="C121" s="137" t="n">
        <v>0.115</v>
      </c>
      <c r="D121" s="63" t="s">
        <v>1891</v>
      </c>
    </row>
    <row r="122" customFormat="false" ht="15" hidden="false" customHeight="false" outlineLevel="0" collapsed="false">
      <c r="A122" s="27" t="s">
        <v>1892</v>
      </c>
      <c r="B122" s="63" t="s">
        <v>617</v>
      </c>
      <c r="C122" s="115" t="n">
        <v>57100</v>
      </c>
      <c r="D122" s="63" t="s">
        <v>1893</v>
      </c>
    </row>
    <row r="123" customFormat="false" ht="15" hidden="false" customHeight="false" outlineLevel="0" collapsed="false">
      <c r="A123" s="27" t="s">
        <v>1894</v>
      </c>
      <c r="B123" s="63" t="s">
        <v>1851</v>
      </c>
      <c r="C123" s="137" t="n">
        <v>0.9</v>
      </c>
    </row>
    <row r="125" customFormat="false" ht="15" hidden="false" customHeight="false" outlineLevel="0" collapsed="false">
      <c r="A125" s="21" t="s">
        <v>1895</v>
      </c>
      <c r="B125" s="22"/>
      <c r="C125" s="22"/>
      <c r="D125" s="22"/>
      <c r="E125" s="22"/>
      <c r="F125" s="22"/>
      <c r="G125" s="22"/>
      <c r="H125" s="22"/>
    </row>
    <row r="126" customFormat="false" ht="15" hidden="false" customHeight="false" outlineLevel="0" collapsed="false">
      <c r="A126" s="27" t="s">
        <v>1896</v>
      </c>
      <c r="B126" s="63" t="s">
        <v>617</v>
      </c>
      <c r="C126" s="115" t="n">
        <v>208000</v>
      </c>
      <c r="D126" s="63" t="s">
        <v>1897</v>
      </c>
    </row>
    <row r="127" customFormat="false" ht="15" hidden="false" customHeight="false" outlineLevel="0" collapsed="false">
      <c r="A127" s="27" t="s">
        <v>1898</v>
      </c>
      <c r="B127" s="63" t="s">
        <v>1851</v>
      </c>
      <c r="C127" s="137" t="n">
        <v>0.12</v>
      </c>
      <c r="D127" s="63" t="s">
        <v>1899</v>
      </c>
    </row>
    <row r="128" customFormat="false" ht="15" hidden="false" customHeight="false" outlineLevel="0" collapsed="false">
      <c r="A128" s="27" t="s">
        <v>1900</v>
      </c>
      <c r="B128" s="63" t="s">
        <v>1782</v>
      </c>
      <c r="C128" s="136" t="n">
        <v>14</v>
      </c>
    </row>
    <row r="129" customFormat="false" ht="15" hidden="false" customHeight="false" outlineLevel="0" collapsed="false">
      <c r="A129" s="27" t="s">
        <v>1901</v>
      </c>
      <c r="B129" s="63" t="s">
        <v>617</v>
      </c>
      <c r="C129" s="115" t="n">
        <v>450000</v>
      </c>
      <c r="D129" s="63" t="s">
        <v>1902</v>
      </c>
    </row>
    <row r="130" customFormat="false" ht="15" hidden="false" customHeight="false" outlineLevel="0" collapsed="false">
      <c r="A130" s="27" t="s">
        <v>1903</v>
      </c>
      <c r="B130" s="63" t="s">
        <v>617</v>
      </c>
      <c r="C130" s="115" t="n">
        <v>650000</v>
      </c>
    </row>
    <row r="131" customFormat="false" ht="15" hidden="false" customHeight="false" outlineLevel="0" collapsed="false">
      <c r="A131" s="27" t="s">
        <v>1904</v>
      </c>
      <c r="B131" s="63" t="s">
        <v>1738</v>
      </c>
      <c r="C131" s="137" t="n">
        <v>0.015</v>
      </c>
    </row>
    <row r="132" customFormat="false" ht="15" hidden="false" customHeight="false" outlineLevel="0" collapsed="false">
      <c r="A132" s="27" t="s">
        <v>1905</v>
      </c>
      <c r="B132" s="63" t="s">
        <v>1738</v>
      </c>
      <c r="C132" s="137" t="n">
        <v>0.025</v>
      </c>
    </row>
    <row r="133" customFormat="false" ht="15" hidden="false" customHeight="false" outlineLevel="0" collapsed="false">
      <c r="A133" s="27" t="s">
        <v>1906</v>
      </c>
      <c r="B133" s="63" t="s">
        <v>1738</v>
      </c>
      <c r="C133" s="137" t="n">
        <v>0.03</v>
      </c>
      <c r="D133" s="63" t="s">
        <v>1907</v>
      </c>
    </row>
    <row r="134" customFormat="false" ht="15" hidden="false" customHeight="false" outlineLevel="0" collapsed="false">
      <c r="A134" s="27" t="s">
        <v>1908</v>
      </c>
      <c r="B134" s="63" t="s">
        <v>617</v>
      </c>
      <c r="C134" s="134" t="n">
        <v>30</v>
      </c>
      <c r="D134" s="63" t="s">
        <v>1909</v>
      </c>
    </row>
    <row r="135" customFormat="false" ht="15" hidden="false" customHeight="false" outlineLevel="0" collapsed="false">
      <c r="A135" s="27" t="s">
        <v>1910</v>
      </c>
      <c r="B135" s="63" t="s">
        <v>617</v>
      </c>
      <c r="C135" s="134" t="n">
        <v>82</v>
      </c>
    </row>
    <row r="136" customFormat="false" ht="15" hidden="false" customHeight="false" outlineLevel="0" collapsed="false">
      <c r="A136" s="27" t="s">
        <v>1911</v>
      </c>
      <c r="B136" s="63" t="s">
        <v>617</v>
      </c>
      <c r="C136" s="134" t="n">
        <v>68</v>
      </c>
    </row>
    <row r="137" customFormat="false" ht="15" hidden="false" customHeight="false" outlineLevel="0" collapsed="false">
      <c r="A137" s="27" t="s">
        <v>1912</v>
      </c>
      <c r="B137" s="63" t="s">
        <v>1851</v>
      </c>
      <c r="C137" s="137" t="n">
        <v>0.9</v>
      </c>
    </row>
    <row r="138" customFormat="false" ht="15" hidden="false" customHeight="false" outlineLevel="0" collapsed="false">
      <c r="A138" s="27" t="s">
        <v>1913</v>
      </c>
      <c r="B138" s="63" t="s">
        <v>634</v>
      </c>
      <c r="C138" s="133" t="n">
        <v>46326</v>
      </c>
      <c r="D138" s="63" t="s">
        <v>1914</v>
      </c>
    </row>
    <row r="139" customFormat="false" ht="15" hidden="false" customHeight="false" outlineLevel="0" collapsed="false">
      <c r="A139" s="27" t="s">
        <v>1915</v>
      </c>
      <c r="B139" s="63" t="s">
        <v>1851</v>
      </c>
      <c r="C139" s="137" t="n">
        <v>0.85</v>
      </c>
      <c r="D139" s="63" t="s">
        <v>1916</v>
      </c>
    </row>
    <row r="140" customFormat="false" ht="15" hidden="false" customHeight="false" outlineLevel="0" collapsed="false">
      <c r="A140" s="27" t="s">
        <v>1917</v>
      </c>
      <c r="B140" s="63" t="s">
        <v>1782</v>
      </c>
      <c r="C140" s="136" t="n">
        <v>38</v>
      </c>
      <c r="D140" s="63" t="s">
        <v>1918</v>
      </c>
    </row>
    <row r="141" customFormat="false" ht="15" hidden="false" customHeight="false" outlineLevel="0" collapsed="false">
      <c r="A141" s="27" t="s">
        <v>1919</v>
      </c>
      <c r="B141" s="63" t="s">
        <v>1782</v>
      </c>
      <c r="C141" s="136" t="n">
        <v>55</v>
      </c>
    </row>
    <row r="142" customFormat="false" ht="15" hidden="false" customHeight="false" outlineLevel="0" collapsed="false">
      <c r="A142" s="27" t="s">
        <v>1920</v>
      </c>
      <c r="B142" s="63" t="s">
        <v>617</v>
      </c>
      <c r="C142" s="134" t="n">
        <v>21600</v>
      </c>
      <c r="D142" s="63" t="s">
        <v>1921</v>
      </c>
    </row>
    <row r="144" customFormat="false" ht="15" hidden="false" customHeight="false" outlineLevel="0" collapsed="false">
      <c r="A144" s="21" t="s">
        <v>1922</v>
      </c>
      <c r="B144" s="22"/>
      <c r="C144" s="22"/>
      <c r="D144" s="22"/>
      <c r="E144" s="22"/>
      <c r="F144" s="22"/>
      <c r="G144" s="22"/>
      <c r="H144" s="22"/>
    </row>
    <row r="145" customFormat="false" ht="15" hidden="false" customHeight="false" outlineLevel="0" collapsed="false">
      <c r="A145" s="27" t="s">
        <v>1923</v>
      </c>
      <c r="B145" s="63" t="s">
        <v>1924</v>
      </c>
      <c r="C145" s="134" t="n">
        <v>3.4</v>
      </c>
      <c r="D145" s="63" t="s">
        <v>1925</v>
      </c>
    </row>
    <row r="146" customFormat="false" ht="15" hidden="false" customHeight="false" outlineLevel="0" collapsed="false">
      <c r="A146" s="27" t="s">
        <v>1926</v>
      </c>
      <c r="B146" s="63" t="s">
        <v>1924</v>
      </c>
      <c r="C146" s="115" t="n">
        <v>4500</v>
      </c>
    </row>
    <row r="147" customFormat="false" ht="15" hidden="false" customHeight="false" outlineLevel="0" collapsed="false">
      <c r="A147" s="27" t="s">
        <v>1927</v>
      </c>
      <c r="B147" s="63" t="s">
        <v>637</v>
      </c>
      <c r="C147" s="147" t="n">
        <v>1.1</v>
      </c>
    </row>
    <row r="148" customFormat="false" ht="15" hidden="false" customHeight="false" outlineLevel="0" collapsed="false">
      <c r="A148" s="27" t="s">
        <v>1928</v>
      </c>
      <c r="B148" s="63" t="s">
        <v>617</v>
      </c>
      <c r="C148" s="115" t="n">
        <v>7800</v>
      </c>
    </row>
    <row r="149" customFormat="false" ht="15" hidden="false" customHeight="false" outlineLevel="0" collapsed="false">
      <c r="A149" s="27" t="s">
        <v>1929</v>
      </c>
      <c r="B149" s="63" t="s">
        <v>617</v>
      </c>
      <c r="C149" s="134" t="n">
        <v>0.9</v>
      </c>
    </row>
    <row r="150" customFormat="false" ht="15" hidden="false" customHeight="false" outlineLevel="0" collapsed="false">
      <c r="A150" s="27" t="s">
        <v>1930</v>
      </c>
      <c r="B150" s="63" t="s">
        <v>617</v>
      </c>
      <c r="C150" s="115" t="n">
        <v>790</v>
      </c>
      <c r="D150" s="63" t="s">
        <v>1931</v>
      </c>
    </row>
    <row r="151" customFormat="false" ht="15" hidden="false" customHeight="false" outlineLevel="0" collapsed="false">
      <c r="A151" s="27" t="s">
        <v>1932</v>
      </c>
      <c r="B151" s="63" t="s">
        <v>617</v>
      </c>
      <c r="C151" s="115" t="n">
        <v>1500</v>
      </c>
    </row>
    <row r="152" customFormat="false" ht="15" hidden="false" customHeight="false" outlineLevel="0" collapsed="false">
      <c r="A152" s="27" t="s">
        <v>1505</v>
      </c>
      <c r="B152" s="63" t="s">
        <v>617</v>
      </c>
      <c r="C152" s="115" t="n">
        <v>10500</v>
      </c>
      <c r="D152" s="63" t="s">
        <v>1933</v>
      </c>
    </row>
    <row r="153" customFormat="false" ht="15" hidden="false" customHeight="false" outlineLevel="0" collapsed="false">
      <c r="A153" s="27" t="s">
        <v>427</v>
      </c>
      <c r="B153" s="63" t="s">
        <v>617</v>
      </c>
      <c r="C153" s="115" t="n">
        <v>4800</v>
      </c>
      <c r="D153" s="63" t="s">
        <v>1934</v>
      </c>
    </row>
    <row r="154" customFormat="false" ht="15" hidden="false" customHeight="false" outlineLevel="0" collapsed="false">
      <c r="A154" s="27" t="s">
        <v>1508</v>
      </c>
      <c r="B154" s="63" t="s">
        <v>617</v>
      </c>
      <c r="C154" s="115" t="n">
        <v>1900</v>
      </c>
    </row>
    <row r="155" customFormat="false" ht="15" hidden="false" customHeight="false" outlineLevel="0" collapsed="false">
      <c r="A155" s="27" t="s">
        <v>429</v>
      </c>
      <c r="B155" s="63" t="s">
        <v>617</v>
      </c>
      <c r="C155" s="115" t="n">
        <v>6500</v>
      </c>
      <c r="D155" s="63" t="s">
        <v>1935</v>
      </c>
    </row>
    <row r="156" customFormat="false" ht="15" hidden="false" customHeight="false" outlineLevel="0" collapsed="false">
      <c r="A156" s="27" t="s">
        <v>430</v>
      </c>
      <c r="B156" s="63" t="s">
        <v>617</v>
      </c>
      <c r="C156" s="115" t="n">
        <v>3800</v>
      </c>
    </row>
    <row r="157" customFormat="false" ht="15" hidden="false" customHeight="false" outlineLevel="0" collapsed="false">
      <c r="A157" s="27" t="s">
        <v>431</v>
      </c>
      <c r="B157" s="63" t="s">
        <v>617</v>
      </c>
      <c r="C157" s="115" t="n">
        <v>400</v>
      </c>
      <c r="D157" s="63" t="s">
        <v>1936</v>
      </c>
    </row>
    <row r="158" customFormat="false" ht="15" hidden="false" customHeight="false" outlineLevel="0" collapsed="false">
      <c r="A158" s="27" t="s">
        <v>1509</v>
      </c>
      <c r="B158" s="63" t="s">
        <v>617</v>
      </c>
      <c r="C158" s="115" t="n">
        <v>3200</v>
      </c>
    </row>
    <row r="159" customFormat="false" ht="15" hidden="false" customHeight="false" outlineLevel="0" collapsed="false">
      <c r="A159" s="27" t="s">
        <v>433</v>
      </c>
      <c r="B159" s="63" t="s">
        <v>617</v>
      </c>
      <c r="C159" s="115" t="n">
        <v>4200</v>
      </c>
    </row>
    <row r="160" customFormat="false" ht="15" hidden="false" customHeight="false" outlineLevel="0" collapsed="false">
      <c r="A160" s="27" t="s">
        <v>434</v>
      </c>
      <c r="B160" s="63" t="s">
        <v>617</v>
      </c>
      <c r="C160" s="115" t="n">
        <v>2700</v>
      </c>
    </row>
    <row r="161" customFormat="false" ht="15" hidden="false" customHeight="false" outlineLevel="0" collapsed="false">
      <c r="A161" s="27" t="s">
        <v>435</v>
      </c>
      <c r="B161" s="63" t="s">
        <v>617</v>
      </c>
      <c r="C161" s="115" t="n">
        <v>450</v>
      </c>
    </row>
    <row r="162" customFormat="false" ht="15" hidden="false" customHeight="false" outlineLevel="0" collapsed="false">
      <c r="A162" s="27" t="s">
        <v>1937</v>
      </c>
      <c r="B162" s="63" t="s">
        <v>1738</v>
      </c>
      <c r="C162" s="137" t="n">
        <v>0.025</v>
      </c>
    </row>
    <row r="164" customFormat="false" ht="15" hidden="false" customHeight="false" outlineLevel="0" collapsed="false">
      <c r="A164" s="21" t="s">
        <v>1938</v>
      </c>
      <c r="B164" s="22"/>
      <c r="C164" s="22"/>
      <c r="D164" s="22"/>
      <c r="E164" s="22"/>
      <c r="F164" s="22"/>
      <c r="G164" s="22"/>
      <c r="H164" s="22"/>
    </row>
    <row r="165" customFormat="false" ht="15" hidden="false" customHeight="false" outlineLevel="0" collapsed="false">
      <c r="A165" s="27" t="s">
        <v>1939</v>
      </c>
      <c r="B165" s="63" t="s">
        <v>617</v>
      </c>
      <c r="C165" s="115" t="n">
        <v>1300000</v>
      </c>
      <c r="D165" s="63" t="s">
        <v>1940</v>
      </c>
    </row>
    <row r="166" customFormat="false" ht="15" hidden="false" customHeight="false" outlineLevel="0" collapsed="false">
      <c r="A166" s="27" t="s">
        <v>1941</v>
      </c>
      <c r="B166" s="63" t="s">
        <v>617</v>
      </c>
      <c r="C166" s="134" t="n">
        <v>33333.33</v>
      </c>
    </row>
    <row r="167" customFormat="false" ht="15" hidden="false" customHeight="false" outlineLevel="0" collapsed="false">
      <c r="A167" s="27" t="s">
        <v>1942</v>
      </c>
      <c r="B167" s="63" t="s">
        <v>1738</v>
      </c>
      <c r="C167" s="135" t="n">
        <v>0.0225</v>
      </c>
    </row>
    <row r="168" customFormat="false" ht="15" hidden="false" customHeight="false" outlineLevel="0" collapsed="false">
      <c r="A168" s="27" t="s">
        <v>1943</v>
      </c>
      <c r="B168" s="63" t="s">
        <v>637</v>
      </c>
      <c r="C168" s="149" t="n">
        <v>2.5</v>
      </c>
      <c r="D168" s="63" t="s">
        <v>1944</v>
      </c>
    </row>
    <row r="169" customFormat="false" ht="15" hidden="false" customHeight="false" outlineLevel="0" collapsed="false">
      <c r="A169" s="27" t="s">
        <v>1945</v>
      </c>
      <c r="B169" s="63" t="s">
        <v>637</v>
      </c>
      <c r="C169" s="149" t="n">
        <v>1.2</v>
      </c>
    </row>
    <row r="170" customFormat="false" ht="15" hidden="false" customHeight="false" outlineLevel="0" collapsed="false">
      <c r="A170" s="27" t="s">
        <v>1946</v>
      </c>
      <c r="B170" s="63" t="s">
        <v>617</v>
      </c>
      <c r="C170" s="115" t="n">
        <v>360000</v>
      </c>
      <c r="D170" s="63" t="s">
        <v>1947</v>
      </c>
    </row>
    <row r="171" customFormat="false" ht="15" hidden="false" customHeight="false" outlineLevel="0" collapsed="false">
      <c r="A171" s="27" t="s">
        <v>1948</v>
      </c>
      <c r="B171" s="63" t="s">
        <v>1851</v>
      </c>
      <c r="C171" s="137" t="n">
        <v>0.5</v>
      </c>
      <c r="D171" s="63" t="s">
        <v>1949</v>
      </c>
    </row>
    <row r="172" customFormat="false" ht="15" hidden="false" customHeight="false" outlineLevel="0" collapsed="false">
      <c r="A172" s="27" t="s">
        <v>1950</v>
      </c>
      <c r="B172" s="63" t="s">
        <v>617</v>
      </c>
      <c r="C172" s="115" t="n">
        <v>3100</v>
      </c>
      <c r="D172" s="63" t="s">
        <v>1951</v>
      </c>
    </row>
    <row r="173" customFormat="false" ht="15" hidden="false" customHeight="false" outlineLevel="0" collapsed="false">
      <c r="A173" s="27" t="s">
        <v>1952</v>
      </c>
      <c r="B173" s="63" t="s">
        <v>617</v>
      </c>
      <c r="C173" s="115" t="n">
        <v>1166.67</v>
      </c>
    </row>
    <row r="174" customFormat="false" ht="15" hidden="false" customHeight="false" outlineLevel="0" collapsed="false">
      <c r="A174" s="27" t="s">
        <v>1953</v>
      </c>
      <c r="B174" s="63" t="s">
        <v>617</v>
      </c>
      <c r="C174" s="115" t="n">
        <v>5000</v>
      </c>
      <c r="D174" s="63" t="s">
        <v>1954</v>
      </c>
    </row>
    <row r="176" customFormat="false" ht="15" hidden="false" customHeight="false" outlineLevel="0" collapsed="false">
      <c r="A176" s="21" t="s">
        <v>1955</v>
      </c>
      <c r="B176" s="22"/>
      <c r="C176" s="22"/>
      <c r="D176" s="22"/>
      <c r="E176" s="22"/>
      <c r="F176" s="22"/>
      <c r="G176" s="22"/>
      <c r="H176" s="22"/>
    </row>
    <row r="177" customFormat="false" ht="15" hidden="false" customHeight="false" outlineLevel="0" collapsed="false">
      <c r="A177" s="25" t="s">
        <v>1956</v>
      </c>
      <c r="B177" s="26" t="s">
        <v>610</v>
      </c>
      <c r="C177" s="26" t="s">
        <v>611</v>
      </c>
      <c r="D177" s="26" t="s">
        <v>612</v>
      </c>
      <c r="E177" s="26" t="s">
        <v>613</v>
      </c>
      <c r="F177" s="26" t="s">
        <v>1957</v>
      </c>
      <c r="G177" s="26" t="s">
        <v>562</v>
      </c>
      <c r="H177" s="26" t="s">
        <v>1805</v>
      </c>
    </row>
    <row r="178" customFormat="false" ht="15" hidden="false" customHeight="false" outlineLevel="0" collapsed="false">
      <c r="A178" s="27" t="s">
        <v>1958</v>
      </c>
      <c r="B178" s="63" t="s">
        <v>637</v>
      </c>
      <c r="C178" s="147" t="n">
        <v>1</v>
      </c>
      <c r="D178" s="147" t="n">
        <v>0.5</v>
      </c>
      <c r="E178" s="147" t="n">
        <v>1.3</v>
      </c>
      <c r="F178" s="150" t="n">
        <f aca="false">CHOOSE(Assumptions!$C$11,C178,D178,E178)</f>
        <v>1</v>
      </c>
      <c r="H178" s="63" t="s">
        <v>1959</v>
      </c>
    </row>
    <row r="179" customFormat="false" ht="15" hidden="false" customHeight="false" outlineLevel="0" collapsed="false">
      <c r="A179" s="27" t="s">
        <v>1960</v>
      </c>
      <c r="B179" s="63" t="s">
        <v>1738</v>
      </c>
      <c r="C179" s="137" t="n">
        <v>0.03</v>
      </c>
      <c r="D179" s="137" t="n">
        <v>0.015</v>
      </c>
      <c r="E179" s="137" t="n">
        <v>0.035</v>
      </c>
      <c r="F179" s="65" t="n">
        <f aca="false">CHOOSE(Assumptions!$C$11,C179,D179,E179)</f>
        <v>0.03</v>
      </c>
      <c r="G179" s="64" t="n">
        <f aca="false">Assumptions!$C$91</f>
        <v>0.026</v>
      </c>
      <c r="H179" s="63" t="s">
        <v>1961</v>
      </c>
    </row>
    <row r="180" customFormat="false" ht="15" hidden="false" customHeight="false" outlineLevel="0" collapsed="false">
      <c r="A180" s="27" t="s">
        <v>1962</v>
      </c>
      <c r="B180" s="63" t="s">
        <v>1738</v>
      </c>
      <c r="C180" s="137" t="n">
        <v>0</v>
      </c>
      <c r="D180" s="137" t="n">
        <v>-0.05</v>
      </c>
      <c r="E180" s="137" t="n">
        <v>0.02</v>
      </c>
      <c r="F180" s="65" t="n">
        <f aca="false">CHOOSE(Assumptions!$C$11,C180,D180,E180)</f>
        <v>0</v>
      </c>
      <c r="H180" s="63" t="s">
        <v>1963</v>
      </c>
    </row>
    <row r="181" customFormat="false" ht="15" hidden="false" customHeight="false" outlineLevel="0" collapsed="false">
      <c r="A181" s="27" t="s">
        <v>1964</v>
      </c>
      <c r="B181" s="63" t="s">
        <v>1844</v>
      </c>
      <c r="C181" s="136" t="n">
        <v>0</v>
      </c>
      <c r="D181" s="136" t="n">
        <v>2</v>
      </c>
      <c r="E181" s="136" t="n">
        <v>0</v>
      </c>
      <c r="F181" s="68" t="n">
        <f aca="false">CHOOSE(Assumptions!$C$11,C181,D181,E181)</f>
        <v>0</v>
      </c>
    </row>
    <row r="182" customFormat="false" ht="15" hidden="false" customHeight="false" outlineLevel="0" collapsed="false">
      <c r="A182" s="27" t="s">
        <v>1965</v>
      </c>
      <c r="B182" s="63" t="s">
        <v>637</v>
      </c>
      <c r="C182" s="147" t="n">
        <v>1</v>
      </c>
      <c r="D182" s="147" t="n">
        <v>0.85</v>
      </c>
      <c r="E182" s="147" t="n">
        <v>1.1</v>
      </c>
      <c r="F182" s="150" t="n">
        <f aca="false">CHOOSE(Assumptions!$C$11,C182,D182,E182)</f>
        <v>1</v>
      </c>
      <c r="G182" s="103" t="n">
        <f aca="false">IFERROR(SUMIFS(Hardware!$E$8:$AB$8,Assumptions!$E$202:$AB$202,"A")/(Assumptions!$C$126*SUMIFS(Assumptions!$E$211:$AB$211,Assumptions!$E$202:$AB$202,"A")),0)</f>
        <v>1.01775744416873</v>
      </c>
      <c r="H182" s="63" t="s">
        <v>1966</v>
      </c>
    </row>
    <row r="183" customFormat="false" ht="15" hidden="false" customHeight="false" outlineLevel="0" collapsed="false">
      <c r="A183" s="27" t="s">
        <v>1967</v>
      </c>
      <c r="B183" s="63" t="s">
        <v>1851</v>
      </c>
      <c r="C183" s="137" t="n">
        <v>0.128</v>
      </c>
      <c r="D183" s="137" t="n">
        <v>0.115</v>
      </c>
      <c r="E183" s="137" t="n">
        <v>0.133</v>
      </c>
      <c r="F183" s="65" t="n">
        <f aca="false">CHOOSE(Assumptions!$C$11,C183,D183,E183)</f>
        <v>0.128</v>
      </c>
      <c r="G183" s="64" t="n">
        <f aca="false">IFERROR(SUMIFS(Hardware!$E$10:$AB$10,Assumptions!$E$202:$AB$202,"A")/SUMIFS(Hardware!$E$8:$AB$8,Assumptions!$E$202:$AB$202,"A"),0)</f>
        <v>0.128107301587302</v>
      </c>
      <c r="H183" s="63" t="s">
        <v>1968</v>
      </c>
    </row>
    <row r="184" customFormat="false" ht="15" hidden="false" customHeight="false" outlineLevel="0" collapsed="false">
      <c r="A184" s="27" t="s">
        <v>1969</v>
      </c>
      <c r="B184" s="63" t="s">
        <v>1738</v>
      </c>
      <c r="C184" s="137" t="n">
        <v>0.04</v>
      </c>
      <c r="D184" s="137" t="n">
        <v>0</v>
      </c>
      <c r="E184" s="137" t="n">
        <v>0.06</v>
      </c>
      <c r="F184" s="65" t="n">
        <f aca="false">CHOOSE(Assumptions!$C$11,C184,D184,E184)</f>
        <v>0.04</v>
      </c>
      <c r="G184" s="64" t="n">
        <f aca="false">IFERROR(SUMIFS(Licences!$E$12:$AB$12,Assumptions!$E$202:$AB$202,"A")/SUMIFS(History!$C$45:$N$45,Assumptions!$E$201:$P$201,"&lt;="&amp;Assumptions!$C$10)-1,0)</f>
        <v>0.0687898089171974</v>
      </c>
    </row>
    <row r="185" customFormat="false" ht="15" hidden="false" customHeight="false" outlineLevel="0" collapsed="false">
      <c r="A185" s="27" t="s">
        <v>1970</v>
      </c>
      <c r="B185" s="63" t="s">
        <v>637</v>
      </c>
      <c r="C185" s="147" t="n">
        <v>1</v>
      </c>
      <c r="D185" s="147" t="n">
        <v>0.85</v>
      </c>
      <c r="E185" s="147" t="n">
        <v>1.1</v>
      </c>
      <c r="F185" s="150" t="n">
        <f aca="false">CHOOSE(Assumptions!$C$11,C185,D185,E185)</f>
        <v>1</v>
      </c>
      <c r="G185" s="103" t="n">
        <f aca="false">IFERROR(SUMIFS(Licences!$E$22:$AB$22,Assumptions!$E$202:$AB$202,"A")/(Assumptions!$C$122*SUMIFS(Assumptions!$E$212:$AB$212,Assumptions!$E$202:$AB$202,"A")),0)</f>
        <v>1.05803490548946</v>
      </c>
    </row>
    <row r="186" customFormat="false" ht="15" hidden="false" customHeight="false" outlineLevel="0" collapsed="false">
      <c r="A186" s="27" t="s">
        <v>1971</v>
      </c>
      <c r="B186" s="63" t="s">
        <v>617</v>
      </c>
      <c r="C186" s="115" t="n">
        <v>90000</v>
      </c>
      <c r="D186" s="115" t="n">
        <v>65000</v>
      </c>
      <c r="E186" s="115" t="n">
        <v>110000</v>
      </c>
      <c r="F186" s="66" t="n">
        <f aca="false">CHOOSE(Assumptions!$C$11,C186,D186,E186)</f>
        <v>90000</v>
      </c>
      <c r="H186" s="63" t="s">
        <v>1972</v>
      </c>
    </row>
    <row r="187" customFormat="false" ht="15" hidden="false" customHeight="false" outlineLevel="0" collapsed="false">
      <c r="A187" s="27" t="s">
        <v>1973</v>
      </c>
      <c r="B187" s="63" t="s">
        <v>1851</v>
      </c>
      <c r="C187" s="137" t="n">
        <v>0</v>
      </c>
      <c r="D187" s="137" t="n">
        <v>0.2</v>
      </c>
      <c r="E187" s="137" t="n">
        <v>0</v>
      </c>
      <c r="F187" s="65" t="n">
        <f aca="false">CHOOSE(Assumptions!$C$11,C187,D187,E187)</f>
        <v>0</v>
      </c>
      <c r="H187" s="63" t="s">
        <v>1974</v>
      </c>
    </row>
    <row r="188" customFormat="false" ht="15" hidden="false" customHeight="false" outlineLevel="0" collapsed="false">
      <c r="A188" s="27" t="s">
        <v>1975</v>
      </c>
      <c r="B188" s="63" t="s">
        <v>1851</v>
      </c>
      <c r="C188" s="137" t="n">
        <v>1</v>
      </c>
      <c r="D188" s="137" t="n">
        <v>0.75</v>
      </c>
      <c r="E188" s="137" t="n">
        <v>1</v>
      </c>
      <c r="F188" s="65" t="n">
        <f aca="false">CHOOSE(Assumptions!$C$11,C188,D188,E188)</f>
        <v>1</v>
      </c>
      <c r="H188" s="63" t="s">
        <v>1976</v>
      </c>
    </row>
    <row r="189" customFormat="false" ht="15" hidden="false" customHeight="false" outlineLevel="0" collapsed="false">
      <c r="A189" s="27" t="s">
        <v>1977</v>
      </c>
      <c r="B189" s="63" t="s">
        <v>1851</v>
      </c>
      <c r="C189" s="137" t="n">
        <v>1</v>
      </c>
      <c r="D189" s="137" t="n">
        <v>0.75</v>
      </c>
      <c r="E189" s="137" t="n">
        <v>1</v>
      </c>
      <c r="F189" s="65" t="n">
        <f aca="false">CHOOSE(Assumptions!$C$11,C189,D189,E189)</f>
        <v>1</v>
      </c>
    </row>
    <row r="190" customFormat="false" ht="15" hidden="false" customHeight="false" outlineLevel="0" collapsed="false">
      <c r="A190" s="27" t="s">
        <v>1978</v>
      </c>
      <c r="B190" s="63" t="s">
        <v>637</v>
      </c>
      <c r="C190" s="147" t="n">
        <v>1</v>
      </c>
      <c r="D190" s="147" t="n">
        <v>0.8</v>
      </c>
      <c r="E190" s="147" t="n">
        <v>1</v>
      </c>
      <c r="F190" s="150" t="n">
        <f aca="false">CHOOSE(Assumptions!$C$11,C190,D190,E190)</f>
        <v>1</v>
      </c>
    </row>
    <row r="191" customFormat="false" ht="15" hidden="false" customHeight="false" outlineLevel="0" collapsed="false">
      <c r="A191" s="27" t="s">
        <v>1979</v>
      </c>
      <c r="B191" s="63" t="s">
        <v>1738</v>
      </c>
      <c r="C191" s="137" t="n">
        <v>0.03</v>
      </c>
      <c r="D191" s="137" t="n">
        <v>0.02</v>
      </c>
      <c r="E191" s="137" t="n">
        <v>0.035</v>
      </c>
      <c r="F191" s="65" t="n">
        <f aca="false">CHOOSE(Assumptions!$C$11,C191,D191,E191)</f>
        <v>0.03</v>
      </c>
      <c r="H191" s="63" t="s">
        <v>1980</v>
      </c>
    </row>
    <row r="192" customFormat="false" ht="15" hidden="false" customHeight="false" outlineLevel="0" collapsed="false">
      <c r="A192" s="27" t="s">
        <v>1981</v>
      </c>
      <c r="B192" s="63" t="s">
        <v>1782</v>
      </c>
      <c r="C192" s="136" t="n">
        <v>0</v>
      </c>
      <c r="D192" s="136" t="n">
        <v>15</v>
      </c>
      <c r="E192" s="136" t="n">
        <v>0</v>
      </c>
      <c r="F192" s="68" t="n">
        <f aca="false">CHOOSE(Assumptions!$C$11,C192,D192,E192)</f>
        <v>0</v>
      </c>
    </row>
    <row r="193" customFormat="false" ht="15" hidden="false" customHeight="false" outlineLevel="0" collapsed="false">
      <c r="A193" s="27" t="s">
        <v>1982</v>
      </c>
      <c r="B193" s="63" t="s">
        <v>1738</v>
      </c>
      <c r="C193" s="135" t="n">
        <v>0.0275</v>
      </c>
      <c r="D193" s="135" t="n">
        <v>0.0325</v>
      </c>
      <c r="E193" s="135" t="n">
        <v>0.024</v>
      </c>
      <c r="F193" s="72" t="n">
        <f aca="false">CHOOSE(Assumptions!$C$11,C193,D193,E193)</f>
        <v>0.0275</v>
      </c>
      <c r="G193" s="73" t="n">
        <f aca="false">AVERAGEIFS(Assumptions!$E$217:$AB$217,Assumptions!$E$202:$AB$202,"A")</f>
        <v>0.0244225</v>
      </c>
      <c r="H193" s="63" t="s">
        <v>1983</v>
      </c>
    </row>
    <row r="194" customFormat="false" ht="15" hidden="false" customHeight="false" outlineLevel="0" collapsed="false">
      <c r="A194" s="27" t="s">
        <v>1984</v>
      </c>
      <c r="B194" s="63" t="s">
        <v>1738</v>
      </c>
      <c r="C194" s="151" t="n">
        <v>1.1463</v>
      </c>
      <c r="D194" s="151" t="n">
        <v>1.08</v>
      </c>
      <c r="E194" s="151" t="n">
        <v>1.18</v>
      </c>
      <c r="F194" s="121" t="n">
        <f aca="false">CHOOSE(Assumptions!$C$11,C194,D194,E194)</f>
        <v>1.1463</v>
      </c>
      <c r="G194" s="107" t="n">
        <f aca="false">AVERAGEIFS(Assumptions!$E$216:$AB$216,Assumptions!$E$202:$AB$202,"A")</f>
        <v>1.1624</v>
      </c>
      <c r="H194" s="63" t="s">
        <v>1985</v>
      </c>
    </row>
    <row r="195" customFormat="false" ht="15" hidden="false" customHeight="false" outlineLevel="0" collapsed="false">
      <c r="A195" s="27" t="s">
        <v>1986</v>
      </c>
      <c r="B195" s="63" t="s">
        <v>1851</v>
      </c>
      <c r="C195" s="137" t="n">
        <v>0.4</v>
      </c>
      <c r="D195" s="137" t="n">
        <v>0</v>
      </c>
      <c r="E195" s="137" t="n">
        <v>0.45</v>
      </c>
      <c r="F195" s="65" t="n">
        <f aca="false">CHOOSE(Assumptions!$C$11,C195,D195,E195)</f>
        <v>0.4</v>
      </c>
      <c r="H195" s="63" t="s">
        <v>1987</v>
      </c>
    </row>
    <row r="196" customFormat="false" ht="15" hidden="false" customHeight="false" outlineLevel="0" collapsed="false">
      <c r="A196" s="27" t="s">
        <v>1988</v>
      </c>
      <c r="B196" s="63" t="s">
        <v>634</v>
      </c>
      <c r="C196" s="133" t="n">
        <v>46326</v>
      </c>
      <c r="D196" s="133" t="n">
        <v>46387</v>
      </c>
      <c r="E196" s="133" t="n">
        <v>46326</v>
      </c>
      <c r="F196" s="152" t="n">
        <f aca="false">CHOOSE(Assumptions!$C$11,C196,D196,E196)</f>
        <v>46326</v>
      </c>
    </row>
    <row r="197" customFormat="false" ht="15" hidden="false" customHeight="false" outlineLevel="0" collapsed="false">
      <c r="A197" s="27" t="s">
        <v>1989</v>
      </c>
      <c r="B197" s="63" t="s">
        <v>1851</v>
      </c>
      <c r="C197" s="137" t="n">
        <v>0</v>
      </c>
      <c r="D197" s="137" t="n">
        <v>0.25</v>
      </c>
      <c r="E197" s="137" t="n">
        <v>0</v>
      </c>
      <c r="F197" s="65" t="n">
        <f aca="false">CHOOSE(Assumptions!$C$11,C197,D197,E197)</f>
        <v>0</v>
      </c>
    </row>
    <row r="199" customFormat="false" ht="15" hidden="false" customHeight="false" outlineLevel="0" collapsed="false">
      <c r="A199" s="21" t="s">
        <v>1990</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row>
    <row r="200" customFormat="false" ht="15" hidden="false" customHeight="false" outlineLevel="0" collapsed="false">
      <c r="A200" s="27" t="s">
        <v>1991</v>
      </c>
      <c r="E200" s="153" t="n">
        <f aca="false">Assumptions!$C$8</f>
        <v>46053</v>
      </c>
      <c r="F200" s="153" t="n">
        <f aca="false">EOMONTH(E200,1)</f>
        <v>46081</v>
      </c>
      <c r="G200" s="153" t="n">
        <f aca="false">EOMONTH(F200,1)</f>
        <v>46112</v>
      </c>
      <c r="H200" s="153" t="n">
        <f aca="false">EOMONTH(G200,1)</f>
        <v>46142</v>
      </c>
      <c r="I200" s="153" t="n">
        <f aca="false">EOMONTH(H200,1)</f>
        <v>46173</v>
      </c>
      <c r="J200" s="153" t="n">
        <f aca="false">EOMONTH(I200,1)</f>
        <v>46203</v>
      </c>
      <c r="K200" s="153" t="n">
        <f aca="false">EOMONTH(J200,1)</f>
        <v>46234</v>
      </c>
      <c r="L200" s="153" t="n">
        <f aca="false">EOMONTH(K200,1)</f>
        <v>46265</v>
      </c>
      <c r="M200" s="153" t="n">
        <f aca="false">EOMONTH(L200,1)</f>
        <v>46295</v>
      </c>
      <c r="N200" s="153" t="n">
        <f aca="false">EOMONTH(M200,1)</f>
        <v>46326</v>
      </c>
      <c r="O200" s="153" t="n">
        <f aca="false">EOMONTH(N200,1)</f>
        <v>46356</v>
      </c>
      <c r="P200" s="153" t="n">
        <f aca="false">EOMONTH(O200,1)</f>
        <v>46387</v>
      </c>
      <c r="Q200" s="153" t="n">
        <f aca="false">EOMONTH(P200,1)</f>
        <v>46418</v>
      </c>
      <c r="R200" s="153" t="n">
        <f aca="false">EOMONTH(Q200,1)</f>
        <v>46446</v>
      </c>
      <c r="S200" s="153" t="n">
        <f aca="false">EOMONTH(R200,1)</f>
        <v>46477</v>
      </c>
      <c r="T200" s="153" t="n">
        <f aca="false">EOMONTH(S200,1)</f>
        <v>46507</v>
      </c>
      <c r="U200" s="153" t="n">
        <f aca="false">EOMONTH(T200,1)</f>
        <v>46538</v>
      </c>
      <c r="V200" s="153" t="n">
        <f aca="false">EOMONTH(U200,1)</f>
        <v>46568</v>
      </c>
      <c r="W200" s="153" t="n">
        <f aca="false">EOMONTH(V200,1)</f>
        <v>46599</v>
      </c>
      <c r="X200" s="153" t="n">
        <f aca="false">EOMONTH(W200,1)</f>
        <v>46630</v>
      </c>
      <c r="Y200" s="153" t="n">
        <f aca="false">EOMONTH(X200,1)</f>
        <v>46660</v>
      </c>
      <c r="Z200" s="153" t="n">
        <f aca="false">EOMONTH(Y200,1)</f>
        <v>46691</v>
      </c>
      <c r="AA200" s="153" t="n">
        <f aca="false">EOMONTH(Z200,1)</f>
        <v>46721</v>
      </c>
      <c r="AB200" s="153" t="n">
        <f aca="false">EOMONTH(AA200,1)</f>
        <v>46752</v>
      </c>
    </row>
    <row r="201" customFormat="false" ht="15" hidden="false" customHeight="false" outlineLevel="0" collapsed="false">
      <c r="A201" s="27" t="s">
        <v>352</v>
      </c>
      <c r="E201" s="154" t="n">
        <v>1</v>
      </c>
      <c r="F201" s="154" t="n">
        <f aca="false">E201+1</f>
        <v>2</v>
      </c>
      <c r="G201" s="154" t="n">
        <f aca="false">F201+1</f>
        <v>3</v>
      </c>
      <c r="H201" s="154" t="n">
        <f aca="false">G201+1</f>
        <v>4</v>
      </c>
      <c r="I201" s="154" t="n">
        <f aca="false">H201+1</f>
        <v>5</v>
      </c>
      <c r="J201" s="154" t="n">
        <f aca="false">I201+1</f>
        <v>6</v>
      </c>
      <c r="K201" s="154" t="n">
        <f aca="false">J201+1</f>
        <v>7</v>
      </c>
      <c r="L201" s="154" t="n">
        <f aca="false">K201+1</f>
        <v>8</v>
      </c>
      <c r="M201" s="154" t="n">
        <f aca="false">L201+1</f>
        <v>9</v>
      </c>
      <c r="N201" s="154" t="n">
        <f aca="false">M201+1</f>
        <v>10</v>
      </c>
      <c r="O201" s="154" t="n">
        <f aca="false">N201+1</f>
        <v>11</v>
      </c>
      <c r="P201" s="154" t="n">
        <f aca="false">O201+1</f>
        <v>12</v>
      </c>
      <c r="Q201" s="154" t="n">
        <f aca="false">P201+1</f>
        <v>13</v>
      </c>
      <c r="R201" s="154" t="n">
        <f aca="false">Q201+1</f>
        <v>14</v>
      </c>
      <c r="S201" s="154" t="n">
        <f aca="false">R201+1</f>
        <v>15</v>
      </c>
      <c r="T201" s="154" t="n">
        <f aca="false">S201+1</f>
        <v>16</v>
      </c>
      <c r="U201" s="154" t="n">
        <f aca="false">T201+1</f>
        <v>17</v>
      </c>
      <c r="V201" s="154" t="n">
        <f aca="false">U201+1</f>
        <v>18</v>
      </c>
      <c r="W201" s="154" t="n">
        <f aca="false">V201+1</f>
        <v>19</v>
      </c>
      <c r="X201" s="154" t="n">
        <f aca="false">W201+1</f>
        <v>20</v>
      </c>
      <c r="Y201" s="154" t="n">
        <f aca="false">X201+1</f>
        <v>21</v>
      </c>
      <c r="Z201" s="154" t="n">
        <f aca="false">Y201+1</f>
        <v>22</v>
      </c>
      <c r="AA201" s="154" t="n">
        <f aca="false">Z201+1</f>
        <v>23</v>
      </c>
      <c r="AB201" s="154" t="n">
        <f aca="false">AA201+1</f>
        <v>24</v>
      </c>
    </row>
    <row r="202" customFormat="false" ht="15" hidden="false" customHeight="false" outlineLevel="0" collapsed="false">
      <c r="A202" s="27" t="s">
        <v>349</v>
      </c>
      <c r="E202" s="155" t="str">
        <f aca="false">IF(Assumptions!E$200&lt;=Assumptions!$C$9,"A","F")</f>
        <v>A</v>
      </c>
      <c r="F202" s="155" t="str">
        <f aca="false">IF(Assumptions!F$200&lt;=Assumptions!$C$9,"A","F")</f>
        <v>A</v>
      </c>
      <c r="G202" s="155" t="str">
        <f aca="false">IF(Assumptions!G$200&lt;=Assumptions!$C$9,"A","F")</f>
        <v>A</v>
      </c>
      <c r="H202" s="155" t="str">
        <f aca="false">IF(Assumptions!H$200&lt;=Assumptions!$C$9,"A","F")</f>
        <v>A</v>
      </c>
      <c r="I202" s="155" t="str">
        <f aca="false">IF(Assumptions!I$200&lt;=Assumptions!$C$9,"A","F")</f>
        <v>A</v>
      </c>
      <c r="J202" s="155" t="str">
        <f aca="false">IF(Assumptions!J$200&lt;=Assumptions!$C$9,"A","F")</f>
        <v>A</v>
      </c>
      <c r="K202" s="155" t="str">
        <f aca="false">IF(Assumptions!K$200&lt;=Assumptions!$C$9,"A","F")</f>
        <v>A</v>
      </c>
      <c r="L202" s="155" t="str">
        <f aca="false">IF(Assumptions!L$200&lt;=Assumptions!$C$9,"A","F")</f>
        <v>A</v>
      </c>
      <c r="M202" s="155" t="str">
        <f aca="false">IF(Assumptions!M$200&lt;=Assumptions!$C$9,"A","F")</f>
        <v>F</v>
      </c>
      <c r="N202" s="155" t="str">
        <f aca="false">IF(Assumptions!N$200&lt;=Assumptions!$C$9,"A","F")</f>
        <v>F</v>
      </c>
      <c r="O202" s="155" t="str">
        <f aca="false">IF(Assumptions!O$200&lt;=Assumptions!$C$9,"A","F")</f>
        <v>F</v>
      </c>
      <c r="P202" s="155" t="str">
        <f aca="false">IF(Assumptions!P$200&lt;=Assumptions!$C$9,"A","F")</f>
        <v>F</v>
      </c>
      <c r="Q202" s="155" t="str">
        <f aca="false">IF(Assumptions!Q$200&lt;=Assumptions!$C$9,"A","F")</f>
        <v>F</v>
      </c>
      <c r="R202" s="155" t="str">
        <f aca="false">IF(Assumptions!R$200&lt;=Assumptions!$C$9,"A","F")</f>
        <v>F</v>
      </c>
      <c r="S202" s="155" t="str">
        <f aca="false">IF(Assumptions!S$200&lt;=Assumptions!$C$9,"A","F")</f>
        <v>F</v>
      </c>
      <c r="T202" s="155" t="str">
        <f aca="false">IF(Assumptions!T$200&lt;=Assumptions!$C$9,"A","F")</f>
        <v>F</v>
      </c>
      <c r="U202" s="155" t="str">
        <f aca="false">IF(Assumptions!U$200&lt;=Assumptions!$C$9,"A","F")</f>
        <v>F</v>
      </c>
      <c r="V202" s="155" t="str">
        <f aca="false">IF(Assumptions!V$200&lt;=Assumptions!$C$9,"A","F")</f>
        <v>F</v>
      </c>
      <c r="W202" s="155" t="str">
        <f aca="false">IF(Assumptions!W$200&lt;=Assumptions!$C$9,"A","F")</f>
        <v>F</v>
      </c>
      <c r="X202" s="155" t="str">
        <f aca="false">IF(Assumptions!X$200&lt;=Assumptions!$C$9,"A","F")</f>
        <v>F</v>
      </c>
      <c r="Y202" s="155" t="str">
        <f aca="false">IF(Assumptions!Y$200&lt;=Assumptions!$C$9,"A","F")</f>
        <v>F</v>
      </c>
      <c r="Z202" s="155" t="str">
        <f aca="false">IF(Assumptions!Z$200&lt;=Assumptions!$C$9,"A","F")</f>
        <v>F</v>
      </c>
      <c r="AA202" s="155" t="str">
        <f aca="false">IF(Assumptions!AA$200&lt;=Assumptions!$C$9,"A","F")</f>
        <v>F</v>
      </c>
      <c r="AB202" s="155" t="str">
        <f aca="false">IF(Assumptions!AB$200&lt;=Assumptions!$C$9,"A","F")</f>
        <v>F</v>
      </c>
    </row>
    <row r="203" customFormat="false" ht="15" hidden="false" customHeight="false" outlineLevel="0" collapsed="false">
      <c r="A203" s="27" t="s">
        <v>1992</v>
      </c>
      <c r="E203" s="154" t="n">
        <f aca="false">YEAR(Assumptions!E$200)</f>
        <v>2026</v>
      </c>
      <c r="F203" s="154" t="n">
        <f aca="false">YEAR(Assumptions!F$200)</f>
        <v>2026</v>
      </c>
      <c r="G203" s="154" t="n">
        <f aca="false">YEAR(Assumptions!G$200)</f>
        <v>2026</v>
      </c>
      <c r="H203" s="154" t="n">
        <f aca="false">YEAR(Assumptions!H$200)</f>
        <v>2026</v>
      </c>
      <c r="I203" s="154" t="n">
        <f aca="false">YEAR(Assumptions!I$200)</f>
        <v>2026</v>
      </c>
      <c r="J203" s="154" t="n">
        <f aca="false">YEAR(Assumptions!J$200)</f>
        <v>2026</v>
      </c>
      <c r="K203" s="154" t="n">
        <f aca="false">YEAR(Assumptions!K$200)</f>
        <v>2026</v>
      </c>
      <c r="L203" s="154" t="n">
        <f aca="false">YEAR(Assumptions!L$200)</f>
        <v>2026</v>
      </c>
      <c r="M203" s="154" t="n">
        <f aca="false">YEAR(Assumptions!M$200)</f>
        <v>2026</v>
      </c>
      <c r="N203" s="154" t="n">
        <f aca="false">YEAR(Assumptions!N$200)</f>
        <v>2026</v>
      </c>
      <c r="O203" s="154" t="n">
        <f aca="false">YEAR(Assumptions!O$200)</f>
        <v>2026</v>
      </c>
      <c r="P203" s="154" t="n">
        <f aca="false">YEAR(Assumptions!P$200)</f>
        <v>2026</v>
      </c>
      <c r="Q203" s="154" t="n">
        <f aca="false">YEAR(Assumptions!Q$200)</f>
        <v>2027</v>
      </c>
      <c r="R203" s="154" t="n">
        <f aca="false">YEAR(Assumptions!R$200)</f>
        <v>2027</v>
      </c>
      <c r="S203" s="154" t="n">
        <f aca="false">YEAR(Assumptions!S$200)</f>
        <v>2027</v>
      </c>
      <c r="T203" s="154" t="n">
        <f aca="false">YEAR(Assumptions!T$200)</f>
        <v>2027</v>
      </c>
      <c r="U203" s="154" t="n">
        <f aca="false">YEAR(Assumptions!U$200)</f>
        <v>2027</v>
      </c>
      <c r="V203" s="154" t="n">
        <f aca="false">YEAR(Assumptions!V$200)</f>
        <v>2027</v>
      </c>
      <c r="W203" s="154" t="n">
        <f aca="false">YEAR(Assumptions!W$200)</f>
        <v>2027</v>
      </c>
      <c r="X203" s="154" t="n">
        <f aca="false">YEAR(Assumptions!X$200)</f>
        <v>2027</v>
      </c>
      <c r="Y203" s="154" t="n">
        <f aca="false">YEAR(Assumptions!Y$200)</f>
        <v>2027</v>
      </c>
      <c r="Z203" s="154" t="n">
        <f aca="false">YEAR(Assumptions!Z$200)</f>
        <v>2027</v>
      </c>
      <c r="AA203" s="154" t="n">
        <f aca="false">YEAR(Assumptions!AA$200)</f>
        <v>2027</v>
      </c>
      <c r="AB203" s="154" t="n">
        <f aca="false">YEAR(Assumptions!AB$200)</f>
        <v>2027</v>
      </c>
    </row>
    <row r="204" customFormat="false" ht="15" hidden="false" customHeight="false" outlineLevel="0" collapsed="false">
      <c r="A204" s="27" t="s">
        <v>1993</v>
      </c>
      <c r="E204" s="154" t="n">
        <f aca="false">MONTH(Assumptions!E$200)</f>
        <v>1</v>
      </c>
      <c r="F204" s="154" t="n">
        <f aca="false">MONTH(Assumptions!F$200)</f>
        <v>2</v>
      </c>
      <c r="G204" s="154" t="n">
        <f aca="false">MONTH(Assumptions!G$200)</f>
        <v>3</v>
      </c>
      <c r="H204" s="154" t="n">
        <f aca="false">MONTH(Assumptions!H$200)</f>
        <v>4</v>
      </c>
      <c r="I204" s="154" t="n">
        <f aca="false">MONTH(Assumptions!I$200)</f>
        <v>5</v>
      </c>
      <c r="J204" s="154" t="n">
        <f aca="false">MONTH(Assumptions!J$200)</f>
        <v>6</v>
      </c>
      <c r="K204" s="154" t="n">
        <f aca="false">MONTH(Assumptions!K$200)</f>
        <v>7</v>
      </c>
      <c r="L204" s="154" t="n">
        <f aca="false">MONTH(Assumptions!L$200)</f>
        <v>8</v>
      </c>
      <c r="M204" s="154" t="n">
        <f aca="false">MONTH(Assumptions!M$200)</f>
        <v>9</v>
      </c>
      <c r="N204" s="154" t="n">
        <f aca="false">MONTH(Assumptions!N$200)</f>
        <v>10</v>
      </c>
      <c r="O204" s="154" t="n">
        <f aca="false">MONTH(Assumptions!O$200)</f>
        <v>11</v>
      </c>
      <c r="P204" s="154" t="n">
        <f aca="false">MONTH(Assumptions!P$200)</f>
        <v>12</v>
      </c>
      <c r="Q204" s="154" t="n">
        <f aca="false">MONTH(Assumptions!Q$200)</f>
        <v>1</v>
      </c>
      <c r="R204" s="154" t="n">
        <f aca="false">MONTH(Assumptions!R$200)</f>
        <v>2</v>
      </c>
      <c r="S204" s="154" t="n">
        <f aca="false">MONTH(Assumptions!S$200)</f>
        <v>3</v>
      </c>
      <c r="T204" s="154" t="n">
        <f aca="false">MONTH(Assumptions!T$200)</f>
        <v>4</v>
      </c>
      <c r="U204" s="154" t="n">
        <f aca="false">MONTH(Assumptions!U$200)</f>
        <v>5</v>
      </c>
      <c r="V204" s="154" t="n">
        <f aca="false">MONTH(Assumptions!V$200)</f>
        <v>6</v>
      </c>
      <c r="W204" s="154" t="n">
        <f aca="false">MONTH(Assumptions!W$200)</f>
        <v>7</v>
      </c>
      <c r="X204" s="154" t="n">
        <f aca="false">MONTH(Assumptions!X$200)</f>
        <v>8</v>
      </c>
      <c r="Y204" s="154" t="n">
        <f aca="false">MONTH(Assumptions!Y$200)</f>
        <v>9</v>
      </c>
      <c r="Z204" s="154" t="n">
        <f aca="false">MONTH(Assumptions!Z$200)</f>
        <v>10</v>
      </c>
      <c r="AA204" s="154" t="n">
        <f aca="false">MONTH(Assumptions!AA$200)</f>
        <v>11</v>
      </c>
      <c r="AB204" s="154" t="n">
        <f aca="false">MONTH(Assumptions!AB$200)</f>
        <v>12</v>
      </c>
    </row>
    <row r="205" customFormat="false" ht="15" hidden="false" customHeight="false" outlineLevel="0" collapsed="false">
      <c r="A205" s="27" t="s">
        <v>1994</v>
      </c>
      <c r="E205" s="154" t="n">
        <f aca="false">DAY(Assumptions!E$200)</f>
        <v>31</v>
      </c>
      <c r="F205" s="154" t="n">
        <f aca="false">DAY(Assumptions!F$200)</f>
        <v>28</v>
      </c>
      <c r="G205" s="154" t="n">
        <f aca="false">DAY(Assumptions!G$200)</f>
        <v>31</v>
      </c>
      <c r="H205" s="154" t="n">
        <f aca="false">DAY(Assumptions!H$200)</f>
        <v>30</v>
      </c>
      <c r="I205" s="154" t="n">
        <f aca="false">DAY(Assumptions!I$200)</f>
        <v>31</v>
      </c>
      <c r="J205" s="154" t="n">
        <f aca="false">DAY(Assumptions!J$200)</f>
        <v>30</v>
      </c>
      <c r="K205" s="154" t="n">
        <f aca="false">DAY(Assumptions!K$200)</f>
        <v>31</v>
      </c>
      <c r="L205" s="154" t="n">
        <f aca="false">DAY(Assumptions!L$200)</f>
        <v>31</v>
      </c>
      <c r="M205" s="154" t="n">
        <f aca="false">DAY(Assumptions!M$200)</f>
        <v>30</v>
      </c>
      <c r="N205" s="154" t="n">
        <f aca="false">DAY(Assumptions!N$200)</f>
        <v>31</v>
      </c>
      <c r="O205" s="154" t="n">
        <f aca="false">DAY(Assumptions!O$200)</f>
        <v>30</v>
      </c>
      <c r="P205" s="154" t="n">
        <f aca="false">DAY(Assumptions!P$200)</f>
        <v>31</v>
      </c>
      <c r="Q205" s="154" t="n">
        <f aca="false">DAY(Assumptions!Q$200)</f>
        <v>31</v>
      </c>
      <c r="R205" s="154" t="n">
        <f aca="false">DAY(Assumptions!R$200)</f>
        <v>28</v>
      </c>
      <c r="S205" s="154" t="n">
        <f aca="false">DAY(Assumptions!S$200)</f>
        <v>31</v>
      </c>
      <c r="T205" s="154" t="n">
        <f aca="false">DAY(Assumptions!T$200)</f>
        <v>30</v>
      </c>
      <c r="U205" s="154" t="n">
        <f aca="false">DAY(Assumptions!U$200)</f>
        <v>31</v>
      </c>
      <c r="V205" s="154" t="n">
        <f aca="false">DAY(Assumptions!V$200)</f>
        <v>30</v>
      </c>
      <c r="W205" s="154" t="n">
        <f aca="false">DAY(Assumptions!W$200)</f>
        <v>31</v>
      </c>
      <c r="X205" s="154" t="n">
        <f aca="false">DAY(Assumptions!X$200)</f>
        <v>31</v>
      </c>
      <c r="Y205" s="154" t="n">
        <f aca="false">DAY(Assumptions!Y$200)</f>
        <v>30</v>
      </c>
      <c r="Z205" s="154" t="n">
        <f aca="false">DAY(Assumptions!Z$200)</f>
        <v>31</v>
      </c>
      <c r="AA205" s="154" t="n">
        <f aca="false">DAY(Assumptions!AA$200)</f>
        <v>30</v>
      </c>
      <c r="AB205" s="154" t="n">
        <f aca="false">DAY(Assumptions!AB$200)</f>
        <v>31</v>
      </c>
    </row>
    <row r="206" customFormat="false" ht="15" hidden="false" customHeight="false" outlineLevel="0" collapsed="false">
      <c r="A206" s="27" t="s">
        <v>1995</v>
      </c>
      <c r="E206" s="154" t="n">
        <f aca="false">MAX(0,Assumptions!E$201-Assumptions!$C$10)</f>
        <v>0</v>
      </c>
      <c r="F206" s="154" t="n">
        <f aca="false">MAX(0,Assumptions!F$201-Assumptions!$C$10)</f>
        <v>0</v>
      </c>
      <c r="G206" s="154" t="n">
        <f aca="false">MAX(0,Assumptions!G$201-Assumptions!$C$10)</f>
        <v>0</v>
      </c>
      <c r="H206" s="154" t="n">
        <f aca="false">MAX(0,Assumptions!H$201-Assumptions!$C$10)</f>
        <v>0</v>
      </c>
      <c r="I206" s="154" t="n">
        <f aca="false">MAX(0,Assumptions!I$201-Assumptions!$C$10)</f>
        <v>0</v>
      </c>
      <c r="J206" s="154" t="n">
        <f aca="false">MAX(0,Assumptions!J$201-Assumptions!$C$10)</f>
        <v>0</v>
      </c>
      <c r="K206" s="154" t="n">
        <f aca="false">MAX(0,Assumptions!K$201-Assumptions!$C$10)</f>
        <v>0</v>
      </c>
      <c r="L206" s="154" t="n">
        <f aca="false">MAX(0,Assumptions!L$201-Assumptions!$C$10)</f>
        <v>0</v>
      </c>
      <c r="M206" s="154" t="n">
        <f aca="false">MAX(0,Assumptions!M$201-Assumptions!$C$10)</f>
        <v>1</v>
      </c>
      <c r="N206" s="154" t="n">
        <f aca="false">MAX(0,Assumptions!N$201-Assumptions!$C$10)</f>
        <v>2</v>
      </c>
      <c r="O206" s="154" t="n">
        <f aca="false">MAX(0,Assumptions!O$201-Assumptions!$C$10)</f>
        <v>3</v>
      </c>
      <c r="P206" s="154" t="n">
        <f aca="false">MAX(0,Assumptions!P$201-Assumptions!$C$10)</f>
        <v>4</v>
      </c>
      <c r="Q206" s="154" t="n">
        <f aca="false">MAX(0,Assumptions!Q$201-Assumptions!$C$10)</f>
        <v>5</v>
      </c>
      <c r="R206" s="154" t="n">
        <f aca="false">MAX(0,Assumptions!R$201-Assumptions!$C$10)</f>
        <v>6</v>
      </c>
      <c r="S206" s="154" t="n">
        <f aca="false">MAX(0,Assumptions!S$201-Assumptions!$C$10)</f>
        <v>7</v>
      </c>
      <c r="T206" s="154" t="n">
        <f aca="false">MAX(0,Assumptions!T$201-Assumptions!$C$10)</f>
        <v>8</v>
      </c>
      <c r="U206" s="154" t="n">
        <f aca="false">MAX(0,Assumptions!U$201-Assumptions!$C$10)</f>
        <v>9</v>
      </c>
      <c r="V206" s="154" t="n">
        <f aca="false">MAX(0,Assumptions!V$201-Assumptions!$C$10)</f>
        <v>10</v>
      </c>
      <c r="W206" s="154" t="n">
        <f aca="false">MAX(0,Assumptions!W$201-Assumptions!$C$10)</f>
        <v>11</v>
      </c>
      <c r="X206" s="154" t="n">
        <f aca="false">MAX(0,Assumptions!X$201-Assumptions!$C$10)</f>
        <v>12</v>
      </c>
      <c r="Y206" s="154" t="n">
        <f aca="false">MAX(0,Assumptions!Y$201-Assumptions!$C$10)</f>
        <v>13</v>
      </c>
      <c r="Z206" s="154" t="n">
        <f aca="false">MAX(0,Assumptions!Z$201-Assumptions!$C$10)</f>
        <v>14</v>
      </c>
      <c r="AA206" s="154" t="n">
        <f aca="false">MAX(0,Assumptions!AA$201-Assumptions!$C$10)</f>
        <v>15</v>
      </c>
      <c r="AB206" s="154" t="n">
        <f aca="false">MAX(0,Assumptions!AB$201-Assumptions!$C$10)</f>
        <v>16</v>
      </c>
    </row>
    <row r="207" customFormat="false" ht="15" hidden="false" customHeight="false" outlineLevel="0" collapsed="false">
      <c r="A207" s="27" t="s">
        <v>1996</v>
      </c>
      <c r="E207" s="156" t="n">
        <f aca="false">(1+Assumptions!$F$191)^(Assumptions!E$203-YEAR(Assumptions!$C$8))</f>
        <v>1</v>
      </c>
      <c r="F207" s="156" t="n">
        <f aca="false">(1+Assumptions!$F$191)^(Assumptions!F$203-YEAR(Assumptions!$C$8))</f>
        <v>1</v>
      </c>
      <c r="G207" s="156" t="n">
        <f aca="false">(1+Assumptions!$F$191)^(Assumptions!G$203-YEAR(Assumptions!$C$8))</f>
        <v>1</v>
      </c>
      <c r="H207" s="156" t="n">
        <f aca="false">(1+Assumptions!$F$191)^(Assumptions!H$203-YEAR(Assumptions!$C$8))</f>
        <v>1</v>
      </c>
      <c r="I207" s="156" t="n">
        <f aca="false">(1+Assumptions!$F$191)^(Assumptions!I$203-YEAR(Assumptions!$C$8))</f>
        <v>1</v>
      </c>
      <c r="J207" s="156" t="n">
        <f aca="false">(1+Assumptions!$F$191)^(Assumptions!J$203-YEAR(Assumptions!$C$8))</f>
        <v>1</v>
      </c>
      <c r="K207" s="156" t="n">
        <f aca="false">(1+Assumptions!$F$191)^(Assumptions!K$203-YEAR(Assumptions!$C$8))</f>
        <v>1</v>
      </c>
      <c r="L207" s="156" t="n">
        <f aca="false">(1+Assumptions!$F$191)^(Assumptions!L$203-YEAR(Assumptions!$C$8))</f>
        <v>1</v>
      </c>
      <c r="M207" s="156" t="n">
        <f aca="false">(1+Assumptions!$F$191)^(Assumptions!M$203-YEAR(Assumptions!$C$8))</f>
        <v>1</v>
      </c>
      <c r="N207" s="156" t="n">
        <f aca="false">(1+Assumptions!$F$191)^(Assumptions!N$203-YEAR(Assumptions!$C$8))</f>
        <v>1</v>
      </c>
      <c r="O207" s="156" t="n">
        <f aca="false">(1+Assumptions!$F$191)^(Assumptions!O$203-YEAR(Assumptions!$C$8))</f>
        <v>1</v>
      </c>
      <c r="P207" s="156" t="n">
        <f aca="false">(1+Assumptions!$F$191)^(Assumptions!P$203-YEAR(Assumptions!$C$8))</f>
        <v>1</v>
      </c>
      <c r="Q207" s="156" t="n">
        <f aca="false">(1+Assumptions!$F$191)^(Assumptions!Q$203-YEAR(Assumptions!$C$8))</f>
        <v>1.03</v>
      </c>
      <c r="R207" s="156" t="n">
        <f aca="false">(1+Assumptions!$F$191)^(Assumptions!R$203-YEAR(Assumptions!$C$8))</f>
        <v>1.03</v>
      </c>
      <c r="S207" s="156" t="n">
        <f aca="false">(1+Assumptions!$F$191)^(Assumptions!S$203-YEAR(Assumptions!$C$8))</f>
        <v>1.03</v>
      </c>
      <c r="T207" s="156" t="n">
        <f aca="false">(1+Assumptions!$F$191)^(Assumptions!T$203-YEAR(Assumptions!$C$8))</f>
        <v>1.03</v>
      </c>
      <c r="U207" s="156" t="n">
        <f aca="false">(1+Assumptions!$F$191)^(Assumptions!U$203-YEAR(Assumptions!$C$8))</f>
        <v>1.03</v>
      </c>
      <c r="V207" s="156" t="n">
        <f aca="false">(1+Assumptions!$F$191)^(Assumptions!V$203-YEAR(Assumptions!$C$8))</f>
        <v>1.03</v>
      </c>
      <c r="W207" s="156" t="n">
        <f aca="false">(1+Assumptions!$F$191)^(Assumptions!W$203-YEAR(Assumptions!$C$8))</f>
        <v>1.03</v>
      </c>
      <c r="X207" s="156" t="n">
        <f aca="false">(1+Assumptions!$F$191)^(Assumptions!X$203-YEAR(Assumptions!$C$8))</f>
        <v>1.03</v>
      </c>
      <c r="Y207" s="156" t="n">
        <f aca="false">(1+Assumptions!$F$191)^(Assumptions!Y$203-YEAR(Assumptions!$C$8))</f>
        <v>1.03</v>
      </c>
      <c r="Z207" s="156" t="n">
        <f aca="false">(1+Assumptions!$F$191)^(Assumptions!Z$203-YEAR(Assumptions!$C$8))</f>
        <v>1.03</v>
      </c>
      <c r="AA207" s="156" t="n">
        <f aca="false">(1+Assumptions!$F$191)^(Assumptions!AA$203-YEAR(Assumptions!$C$8))</f>
        <v>1.03</v>
      </c>
      <c r="AB207" s="156" t="n">
        <f aca="false">(1+Assumptions!$F$191)^(Assumptions!AB$203-YEAR(Assumptions!$C$8))</f>
        <v>1.03</v>
      </c>
    </row>
    <row r="208" customFormat="false" ht="15" hidden="false" customHeight="false" outlineLevel="0" collapsed="false">
      <c r="A208" s="27" t="s">
        <v>1997</v>
      </c>
      <c r="E208" s="156" t="n">
        <f aca="false">(1+Assumptions!$C$162)^(Assumptions!E$203-YEAR(Assumptions!$C$8))</f>
        <v>1</v>
      </c>
      <c r="F208" s="156" t="n">
        <f aca="false">(1+Assumptions!$C$162)^(Assumptions!F$203-YEAR(Assumptions!$C$8))</f>
        <v>1</v>
      </c>
      <c r="G208" s="156" t="n">
        <f aca="false">(1+Assumptions!$C$162)^(Assumptions!G$203-YEAR(Assumptions!$C$8))</f>
        <v>1</v>
      </c>
      <c r="H208" s="156" t="n">
        <f aca="false">(1+Assumptions!$C$162)^(Assumptions!H$203-YEAR(Assumptions!$C$8))</f>
        <v>1</v>
      </c>
      <c r="I208" s="156" t="n">
        <f aca="false">(1+Assumptions!$C$162)^(Assumptions!I$203-YEAR(Assumptions!$C$8))</f>
        <v>1</v>
      </c>
      <c r="J208" s="156" t="n">
        <f aca="false">(1+Assumptions!$C$162)^(Assumptions!J$203-YEAR(Assumptions!$C$8))</f>
        <v>1</v>
      </c>
      <c r="K208" s="156" t="n">
        <f aca="false">(1+Assumptions!$C$162)^(Assumptions!K$203-YEAR(Assumptions!$C$8))</f>
        <v>1</v>
      </c>
      <c r="L208" s="156" t="n">
        <f aca="false">(1+Assumptions!$C$162)^(Assumptions!L$203-YEAR(Assumptions!$C$8))</f>
        <v>1</v>
      </c>
      <c r="M208" s="156" t="n">
        <f aca="false">(1+Assumptions!$C$162)^(Assumptions!M$203-YEAR(Assumptions!$C$8))</f>
        <v>1</v>
      </c>
      <c r="N208" s="156" t="n">
        <f aca="false">(1+Assumptions!$C$162)^(Assumptions!N$203-YEAR(Assumptions!$C$8))</f>
        <v>1</v>
      </c>
      <c r="O208" s="156" t="n">
        <f aca="false">(1+Assumptions!$C$162)^(Assumptions!O$203-YEAR(Assumptions!$C$8))</f>
        <v>1</v>
      </c>
      <c r="P208" s="156" t="n">
        <f aca="false">(1+Assumptions!$C$162)^(Assumptions!P$203-YEAR(Assumptions!$C$8))</f>
        <v>1</v>
      </c>
      <c r="Q208" s="156" t="n">
        <f aca="false">(1+Assumptions!$C$162)^(Assumptions!Q$203-YEAR(Assumptions!$C$8))</f>
        <v>1.025</v>
      </c>
      <c r="R208" s="156" t="n">
        <f aca="false">(1+Assumptions!$C$162)^(Assumptions!R$203-YEAR(Assumptions!$C$8))</f>
        <v>1.025</v>
      </c>
      <c r="S208" s="156" t="n">
        <f aca="false">(1+Assumptions!$C$162)^(Assumptions!S$203-YEAR(Assumptions!$C$8))</f>
        <v>1.025</v>
      </c>
      <c r="T208" s="156" t="n">
        <f aca="false">(1+Assumptions!$C$162)^(Assumptions!T$203-YEAR(Assumptions!$C$8))</f>
        <v>1.025</v>
      </c>
      <c r="U208" s="156" t="n">
        <f aca="false">(1+Assumptions!$C$162)^(Assumptions!U$203-YEAR(Assumptions!$C$8))</f>
        <v>1.025</v>
      </c>
      <c r="V208" s="156" t="n">
        <f aca="false">(1+Assumptions!$C$162)^(Assumptions!V$203-YEAR(Assumptions!$C$8))</f>
        <v>1.025</v>
      </c>
      <c r="W208" s="156" t="n">
        <f aca="false">(1+Assumptions!$C$162)^(Assumptions!W$203-YEAR(Assumptions!$C$8))</f>
        <v>1.025</v>
      </c>
      <c r="X208" s="156" t="n">
        <f aca="false">(1+Assumptions!$C$162)^(Assumptions!X$203-YEAR(Assumptions!$C$8))</f>
        <v>1.025</v>
      </c>
      <c r="Y208" s="156" t="n">
        <f aca="false">(1+Assumptions!$C$162)^(Assumptions!Y$203-YEAR(Assumptions!$C$8))</f>
        <v>1.025</v>
      </c>
      <c r="Z208" s="156" t="n">
        <f aca="false">(1+Assumptions!$C$162)^(Assumptions!Z$203-YEAR(Assumptions!$C$8))</f>
        <v>1.025</v>
      </c>
      <c r="AA208" s="156" t="n">
        <f aca="false">(1+Assumptions!$C$162)^(Assumptions!AA$203-YEAR(Assumptions!$C$8))</f>
        <v>1.025</v>
      </c>
      <c r="AB208" s="156" t="n">
        <f aca="false">(1+Assumptions!$C$162)^(Assumptions!AB$203-YEAR(Assumptions!$C$8))</f>
        <v>1.025</v>
      </c>
    </row>
    <row r="209" customFormat="false" ht="15" hidden="false" customHeight="false" outlineLevel="0" collapsed="false">
      <c r="A209" s="27" t="s">
        <v>1998</v>
      </c>
      <c r="E209" s="154" t="n">
        <f aca="false">INT((Assumptions!E$201-1)/3)+1</f>
        <v>1</v>
      </c>
      <c r="F209" s="154" t="n">
        <f aca="false">INT((Assumptions!F$201-1)/3)+1</f>
        <v>1</v>
      </c>
      <c r="G209" s="154" t="n">
        <f aca="false">INT((Assumptions!G$201-1)/3)+1</f>
        <v>1</v>
      </c>
      <c r="H209" s="154" t="n">
        <f aca="false">INT((Assumptions!H$201-1)/3)+1</f>
        <v>2</v>
      </c>
      <c r="I209" s="154" t="n">
        <f aca="false">INT((Assumptions!I$201-1)/3)+1</f>
        <v>2</v>
      </c>
      <c r="J209" s="154" t="n">
        <f aca="false">INT((Assumptions!J$201-1)/3)+1</f>
        <v>2</v>
      </c>
      <c r="K209" s="154" t="n">
        <f aca="false">INT((Assumptions!K$201-1)/3)+1</f>
        <v>3</v>
      </c>
      <c r="L209" s="154" t="n">
        <f aca="false">INT((Assumptions!L$201-1)/3)+1</f>
        <v>3</v>
      </c>
      <c r="M209" s="154" t="n">
        <f aca="false">INT((Assumptions!M$201-1)/3)+1</f>
        <v>3</v>
      </c>
      <c r="N209" s="154" t="n">
        <f aca="false">INT((Assumptions!N$201-1)/3)+1</f>
        <v>4</v>
      </c>
      <c r="O209" s="154" t="n">
        <f aca="false">INT((Assumptions!O$201-1)/3)+1</f>
        <v>4</v>
      </c>
      <c r="P209" s="154" t="n">
        <f aca="false">INT((Assumptions!P$201-1)/3)+1</f>
        <v>4</v>
      </c>
      <c r="Q209" s="154" t="n">
        <f aca="false">INT((Assumptions!Q$201-1)/3)+1</f>
        <v>5</v>
      </c>
      <c r="R209" s="154" t="n">
        <f aca="false">INT((Assumptions!R$201-1)/3)+1</f>
        <v>5</v>
      </c>
      <c r="S209" s="154" t="n">
        <f aca="false">INT((Assumptions!S$201-1)/3)+1</f>
        <v>5</v>
      </c>
      <c r="T209" s="154" t="n">
        <f aca="false">INT((Assumptions!T$201-1)/3)+1</f>
        <v>6</v>
      </c>
      <c r="U209" s="154" t="n">
        <f aca="false">INT((Assumptions!U$201-1)/3)+1</f>
        <v>6</v>
      </c>
      <c r="V209" s="154" t="n">
        <f aca="false">INT((Assumptions!V$201-1)/3)+1</f>
        <v>6</v>
      </c>
      <c r="W209" s="154" t="n">
        <f aca="false">INT((Assumptions!W$201-1)/3)+1</f>
        <v>7</v>
      </c>
      <c r="X209" s="154" t="n">
        <f aca="false">INT((Assumptions!X$201-1)/3)+1</f>
        <v>7</v>
      </c>
      <c r="Y209" s="154" t="n">
        <f aca="false">INT((Assumptions!Y$201-1)/3)+1</f>
        <v>7</v>
      </c>
      <c r="Z209" s="154" t="n">
        <f aca="false">INT((Assumptions!Z$201-1)/3)+1</f>
        <v>8</v>
      </c>
      <c r="AA209" s="154" t="n">
        <f aca="false">INT((Assumptions!AA$201-1)/3)+1</f>
        <v>8</v>
      </c>
      <c r="AB209" s="154" t="n">
        <f aca="false">INT((Assumptions!AB$201-1)/3)+1</f>
        <v>8</v>
      </c>
    </row>
    <row r="210" customFormat="false" ht="15" hidden="false" customHeight="false" outlineLevel="0" collapsed="false">
      <c r="A210" s="27" t="s">
        <v>1999</v>
      </c>
      <c r="E210" s="157" t="n">
        <v>1.06</v>
      </c>
      <c r="F210" s="157" t="n">
        <v>1.02</v>
      </c>
      <c r="G210" s="157" t="n">
        <v>1</v>
      </c>
      <c r="H210" s="157" t="n">
        <v>0.97</v>
      </c>
      <c r="I210" s="157" t="n">
        <v>0.98</v>
      </c>
      <c r="J210" s="157" t="n">
        <v>0.96</v>
      </c>
      <c r="K210" s="157" t="n">
        <v>0.95</v>
      </c>
      <c r="L210" s="157" t="n">
        <v>0.88</v>
      </c>
      <c r="M210" s="157" t="n">
        <v>1.08</v>
      </c>
      <c r="N210" s="157" t="n">
        <v>1.05</v>
      </c>
      <c r="O210" s="157" t="n">
        <v>1.03</v>
      </c>
      <c r="P210" s="157" t="n">
        <v>0.94</v>
      </c>
      <c r="Q210" s="158" t="n">
        <f aca="false">E210</f>
        <v>1.06</v>
      </c>
      <c r="R210" s="158" t="n">
        <f aca="false">F210</f>
        <v>1.02</v>
      </c>
      <c r="S210" s="158" t="n">
        <f aca="false">G210</f>
        <v>1</v>
      </c>
      <c r="T210" s="158" t="n">
        <f aca="false">H210</f>
        <v>0.97</v>
      </c>
      <c r="U210" s="158" t="n">
        <f aca="false">I210</f>
        <v>0.98</v>
      </c>
      <c r="V210" s="158" t="n">
        <f aca="false">J210</f>
        <v>0.96</v>
      </c>
      <c r="W210" s="158" t="n">
        <f aca="false">K210</f>
        <v>0.95</v>
      </c>
      <c r="X210" s="158" t="n">
        <f aca="false">L210</f>
        <v>0.88</v>
      </c>
      <c r="Y210" s="158" t="n">
        <f aca="false">M210</f>
        <v>1.08</v>
      </c>
      <c r="Z210" s="158" t="n">
        <f aca="false">N210</f>
        <v>1.05</v>
      </c>
      <c r="AA210" s="158" t="n">
        <f aca="false">O210</f>
        <v>1.03</v>
      </c>
      <c r="AB210" s="158" t="n">
        <f aca="false">P210</f>
        <v>0.94</v>
      </c>
    </row>
    <row r="211" customFormat="false" ht="15" hidden="false" customHeight="false" outlineLevel="0" collapsed="false">
      <c r="A211" s="27" t="s">
        <v>2000</v>
      </c>
      <c r="E211" s="157" t="n">
        <v>0.88</v>
      </c>
      <c r="F211" s="157" t="n">
        <v>0.92</v>
      </c>
      <c r="G211" s="157" t="n">
        <v>1.05</v>
      </c>
      <c r="H211" s="157" t="n">
        <v>0.95</v>
      </c>
      <c r="I211" s="157" t="n">
        <v>1</v>
      </c>
      <c r="J211" s="157" t="n">
        <v>1.12</v>
      </c>
      <c r="K211" s="157" t="n">
        <v>0.92</v>
      </c>
      <c r="L211" s="157" t="n">
        <v>0.6</v>
      </c>
      <c r="M211" s="157" t="n">
        <v>1.18</v>
      </c>
      <c r="N211" s="157" t="n">
        <v>1.28</v>
      </c>
      <c r="O211" s="157" t="n">
        <v>1.07</v>
      </c>
      <c r="P211" s="157" t="n">
        <v>0.98</v>
      </c>
      <c r="Q211" s="158" t="n">
        <f aca="false">E211</f>
        <v>0.88</v>
      </c>
      <c r="R211" s="158" t="n">
        <f aca="false">F211</f>
        <v>0.92</v>
      </c>
      <c r="S211" s="158" t="n">
        <f aca="false">G211</f>
        <v>1.05</v>
      </c>
      <c r="T211" s="158" t="n">
        <f aca="false">H211</f>
        <v>0.95</v>
      </c>
      <c r="U211" s="158" t="n">
        <f aca="false">I211</f>
        <v>1</v>
      </c>
      <c r="V211" s="158" t="n">
        <f aca="false">J211</f>
        <v>1.12</v>
      </c>
      <c r="W211" s="158" t="n">
        <f aca="false">K211</f>
        <v>0.92</v>
      </c>
      <c r="X211" s="158" t="n">
        <f aca="false">L211</f>
        <v>0.6</v>
      </c>
      <c r="Y211" s="158" t="n">
        <f aca="false">M211</f>
        <v>1.18</v>
      </c>
      <c r="Z211" s="158" t="n">
        <f aca="false">N211</f>
        <v>1.28</v>
      </c>
      <c r="AA211" s="158" t="n">
        <f aca="false">O211</f>
        <v>1.07</v>
      </c>
      <c r="AB211" s="158" t="n">
        <f aca="false">P211</f>
        <v>0.98</v>
      </c>
    </row>
    <row r="212" customFormat="false" ht="15" hidden="false" customHeight="false" outlineLevel="0" collapsed="false">
      <c r="A212" s="27" t="s">
        <v>2001</v>
      </c>
      <c r="E212" s="157" t="n">
        <v>0.82</v>
      </c>
      <c r="F212" s="157" t="n">
        <v>0.88</v>
      </c>
      <c r="G212" s="157" t="n">
        <v>1.08</v>
      </c>
      <c r="H212" s="157" t="n">
        <v>0.93</v>
      </c>
      <c r="I212" s="157" t="n">
        <v>0.96</v>
      </c>
      <c r="J212" s="157" t="n">
        <v>1.02</v>
      </c>
      <c r="K212" s="157" t="n">
        <v>0.92</v>
      </c>
      <c r="L212" s="157" t="n">
        <v>0.64</v>
      </c>
      <c r="M212" s="157" t="n">
        <v>1.07</v>
      </c>
      <c r="N212" s="157" t="n">
        <v>1.14</v>
      </c>
      <c r="O212" s="157" t="n">
        <v>1.22</v>
      </c>
      <c r="P212" s="157" t="n">
        <v>1.32</v>
      </c>
      <c r="Q212" s="158" t="n">
        <f aca="false">E212</f>
        <v>0.82</v>
      </c>
      <c r="R212" s="158" t="n">
        <f aca="false">F212</f>
        <v>0.88</v>
      </c>
      <c r="S212" s="158" t="n">
        <f aca="false">G212</f>
        <v>1.08</v>
      </c>
      <c r="T212" s="158" t="n">
        <f aca="false">H212</f>
        <v>0.93</v>
      </c>
      <c r="U212" s="158" t="n">
        <f aca="false">I212</f>
        <v>0.96</v>
      </c>
      <c r="V212" s="158" t="n">
        <f aca="false">J212</f>
        <v>1.02</v>
      </c>
      <c r="W212" s="158" t="n">
        <f aca="false">K212</f>
        <v>0.92</v>
      </c>
      <c r="X212" s="158" t="n">
        <f aca="false">L212</f>
        <v>0.64</v>
      </c>
      <c r="Y212" s="158" t="n">
        <f aca="false">M212</f>
        <v>1.07</v>
      </c>
      <c r="Z212" s="158" t="n">
        <f aca="false">N212</f>
        <v>1.14</v>
      </c>
      <c r="AA212" s="158" t="n">
        <f aca="false">O212</f>
        <v>1.22</v>
      </c>
      <c r="AB212" s="158" t="n">
        <f aca="false">P212</f>
        <v>1.32</v>
      </c>
    </row>
    <row r="213" customFormat="false" ht="15" hidden="false" customHeight="false" outlineLevel="0" collapsed="false">
      <c r="A213" s="27" t="s">
        <v>2002</v>
      </c>
      <c r="E213" s="157" t="n">
        <v>0.95</v>
      </c>
      <c r="F213" s="157" t="n">
        <v>0.99</v>
      </c>
      <c r="G213" s="157" t="n">
        <v>1.06</v>
      </c>
      <c r="H213" s="157" t="n">
        <v>1.02</v>
      </c>
      <c r="I213" s="157" t="n">
        <v>0.97</v>
      </c>
      <c r="J213" s="157" t="n">
        <v>1.1</v>
      </c>
      <c r="K213" s="157" t="n">
        <v>0.93</v>
      </c>
      <c r="L213" s="157" t="n">
        <v>0.6</v>
      </c>
      <c r="M213" s="157" t="n">
        <v>1.05</v>
      </c>
      <c r="N213" s="157" t="n">
        <v>1.16</v>
      </c>
      <c r="O213" s="157" t="n">
        <v>1.1</v>
      </c>
      <c r="P213" s="157" t="n">
        <v>1.05</v>
      </c>
      <c r="Q213" s="158" t="n">
        <f aca="false">E213</f>
        <v>0.95</v>
      </c>
      <c r="R213" s="158" t="n">
        <f aca="false">F213</f>
        <v>0.99</v>
      </c>
      <c r="S213" s="158" t="n">
        <f aca="false">G213</f>
        <v>1.06</v>
      </c>
      <c r="T213" s="158" t="n">
        <f aca="false">H213</f>
        <v>1.02</v>
      </c>
      <c r="U213" s="158" t="n">
        <f aca="false">I213</f>
        <v>0.97</v>
      </c>
      <c r="V213" s="158" t="n">
        <f aca="false">J213</f>
        <v>1.1</v>
      </c>
      <c r="W213" s="158" t="n">
        <f aca="false">K213</f>
        <v>0.93</v>
      </c>
      <c r="X213" s="158" t="n">
        <f aca="false">L213</f>
        <v>0.6</v>
      </c>
      <c r="Y213" s="158" t="n">
        <f aca="false">M213</f>
        <v>1.05</v>
      </c>
      <c r="Z213" s="158" t="n">
        <f aca="false">N213</f>
        <v>1.16</v>
      </c>
      <c r="AA213" s="158" t="n">
        <f aca="false">O213</f>
        <v>1.1</v>
      </c>
      <c r="AB213" s="158" t="n">
        <f aca="false">P213</f>
        <v>1.05</v>
      </c>
    </row>
    <row r="214" customFormat="false" ht="15" hidden="false" customHeight="false" outlineLevel="0" collapsed="false">
      <c r="A214" s="27" t="s">
        <v>2003</v>
      </c>
      <c r="E214" s="159" t="n">
        <v>0.04</v>
      </c>
      <c r="F214" s="159" t="n">
        <v>0.05</v>
      </c>
      <c r="G214" s="159" t="n">
        <v>0.05</v>
      </c>
      <c r="H214" s="159" t="n">
        <v>0.09</v>
      </c>
      <c r="I214" s="159" t="n">
        <v>0.06</v>
      </c>
      <c r="J214" s="159" t="n">
        <v>0.09</v>
      </c>
      <c r="K214" s="159" t="n">
        <v>0.14</v>
      </c>
      <c r="L214" s="159" t="n">
        <v>0.22</v>
      </c>
      <c r="M214" s="159" t="n">
        <v>0.08</v>
      </c>
      <c r="N214" s="159" t="n">
        <v>0.05</v>
      </c>
      <c r="O214" s="159" t="n">
        <v>0.04</v>
      </c>
      <c r="P214" s="159" t="n">
        <v>0.09</v>
      </c>
      <c r="Q214" s="160" t="n">
        <f aca="false">E214</f>
        <v>0.04</v>
      </c>
      <c r="R214" s="160" t="n">
        <f aca="false">F214</f>
        <v>0.05</v>
      </c>
      <c r="S214" s="160" t="n">
        <f aca="false">G214</f>
        <v>0.05</v>
      </c>
      <c r="T214" s="160" t="n">
        <f aca="false">H214</f>
        <v>0.09</v>
      </c>
      <c r="U214" s="160" t="n">
        <f aca="false">I214</f>
        <v>0.06</v>
      </c>
      <c r="V214" s="160" t="n">
        <f aca="false">J214</f>
        <v>0.09</v>
      </c>
      <c r="W214" s="160" t="n">
        <f aca="false">K214</f>
        <v>0.14</v>
      </c>
      <c r="X214" s="160" t="n">
        <f aca="false">L214</f>
        <v>0.22</v>
      </c>
      <c r="Y214" s="160" t="n">
        <f aca="false">M214</f>
        <v>0.08</v>
      </c>
      <c r="Z214" s="160" t="n">
        <f aca="false">N214</f>
        <v>0.05</v>
      </c>
      <c r="AA214" s="160" t="n">
        <f aca="false">O214</f>
        <v>0.04</v>
      </c>
      <c r="AB214" s="160" t="n">
        <f aca="false">P214</f>
        <v>0.09</v>
      </c>
    </row>
    <row r="215" customFormat="false" ht="15" hidden="false" customHeight="false" outlineLevel="0" collapsed="false">
      <c r="A215" s="27" t="s">
        <v>2004</v>
      </c>
      <c r="E215" s="160" t="n">
        <f aca="false">Assumptions!$C$43*Assumptions!E$214/Assumptions!$C$42</f>
        <v>0.0419047619047619</v>
      </c>
      <c r="F215" s="160" t="n">
        <f aca="false">Assumptions!$C$43*Assumptions!F$214/Assumptions!$C$42</f>
        <v>0.0523809523809524</v>
      </c>
      <c r="G215" s="160" t="n">
        <f aca="false">Assumptions!$C$43*Assumptions!G$214/Assumptions!$C$42</f>
        <v>0.0523809523809524</v>
      </c>
      <c r="H215" s="160" t="n">
        <f aca="false">Assumptions!$C$43*Assumptions!H$214/Assumptions!$C$42</f>
        <v>0.0942857142857143</v>
      </c>
      <c r="I215" s="160" t="n">
        <f aca="false">Assumptions!$C$43*Assumptions!I$214/Assumptions!$C$42</f>
        <v>0.0628571428571429</v>
      </c>
      <c r="J215" s="160" t="n">
        <f aca="false">Assumptions!$C$43*Assumptions!J$214/Assumptions!$C$42</f>
        <v>0.0942857142857143</v>
      </c>
      <c r="K215" s="160" t="n">
        <f aca="false">Assumptions!$C$43*Assumptions!K$214/Assumptions!$C$42</f>
        <v>0.146666666666667</v>
      </c>
      <c r="L215" s="160" t="n">
        <f aca="false">Assumptions!$C$43*Assumptions!L$214/Assumptions!$C$42</f>
        <v>0.23047619047619</v>
      </c>
      <c r="M215" s="160" t="n">
        <f aca="false">Assumptions!$C$43*Assumptions!M$214/Assumptions!$C$42</f>
        <v>0.0838095238095238</v>
      </c>
      <c r="N215" s="160" t="n">
        <f aca="false">Assumptions!$C$43*Assumptions!N$214/Assumptions!$C$42</f>
        <v>0.0523809523809524</v>
      </c>
      <c r="O215" s="160" t="n">
        <f aca="false">Assumptions!$C$43*Assumptions!O$214/Assumptions!$C$42</f>
        <v>0.0419047619047619</v>
      </c>
      <c r="P215" s="160" t="n">
        <f aca="false">Assumptions!$C$43*Assumptions!P$214/Assumptions!$C$42</f>
        <v>0.0942857142857143</v>
      </c>
      <c r="Q215" s="160" t="n">
        <f aca="false">Assumptions!$C$43*Assumptions!Q$214/Assumptions!$C$42</f>
        <v>0.0419047619047619</v>
      </c>
      <c r="R215" s="160" t="n">
        <f aca="false">Assumptions!$C$43*Assumptions!R$214/Assumptions!$C$42</f>
        <v>0.0523809523809524</v>
      </c>
      <c r="S215" s="160" t="n">
        <f aca="false">Assumptions!$C$43*Assumptions!S$214/Assumptions!$C$42</f>
        <v>0.0523809523809524</v>
      </c>
      <c r="T215" s="160" t="n">
        <f aca="false">Assumptions!$C$43*Assumptions!T$214/Assumptions!$C$42</f>
        <v>0.0942857142857143</v>
      </c>
      <c r="U215" s="160" t="n">
        <f aca="false">Assumptions!$C$43*Assumptions!U$214/Assumptions!$C$42</f>
        <v>0.0628571428571429</v>
      </c>
      <c r="V215" s="160" t="n">
        <f aca="false">Assumptions!$C$43*Assumptions!V$214/Assumptions!$C$42</f>
        <v>0.0942857142857143</v>
      </c>
      <c r="W215" s="160" t="n">
        <f aca="false">Assumptions!$C$43*Assumptions!W$214/Assumptions!$C$42</f>
        <v>0.146666666666667</v>
      </c>
      <c r="X215" s="160" t="n">
        <f aca="false">Assumptions!$C$43*Assumptions!X$214/Assumptions!$C$42</f>
        <v>0.23047619047619</v>
      </c>
      <c r="Y215" s="160" t="n">
        <f aca="false">Assumptions!$C$43*Assumptions!Y$214/Assumptions!$C$42</f>
        <v>0.0838095238095238</v>
      </c>
      <c r="Z215" s="160" t="n">
        <f aca="false">Assumptions!$C$43*Assumptions!Z$214/Assumptions!$C$42</f>
        <v>0.0523809523809524</v>
      </c>
      <c r="AA215" s="160" t="n">
        <f aca="false">Assumptions!$C$43*Assumptions!AA$214/Assumptions!$C$42</f>
        <v>0.0419047619047619</v>
      </c>
      <c r="AB215" s="160" t="n">
        <f aca="false">Assumptions!$C$43*Assumptions!AB$214/Assumptions!$C$42</f>
        <v>0.0942857142857143</v>
      </c>
    </row>
    <row r="216" customFormat="false" ht="15" hidden="false" customHeight="false" outlineLevel="0" collapsed="false">
      <c r="A216" s="27" t="s">
        <v>2005</v>
      </c>
      <c r="E216" s="161" t="n">
        <v>1.1702</v>
      </c>
      <c r="F216" s="161" t="n">
        <v>1.179</v>
      </c>
      <c r="G216" s="161" t="n">
        <v>1.1612</v>
      </c>
      <c r="H216" s="161" t="n">
        <v>1.1545</v>
      </c>
      <c r="I216" s="161" t="n">
        <v>1.1488</v>
      </c>
      <c r="J216" s="161" t="n">
        <v>1.1573</v>
      </c>
      <c r="K216" s="161" t="n">
        <v>1.1627</v>
      </c>
      <c r="L216" s="161" t="n">
        <v>1.1655</v>
      </c>
      <c r="M216" s="162" t="n">
        <f aca="false">Assumptions!$F$194</f>
        <v>1.1463</v>
      </c>
      <c r="N216" s="162" t="n">
        <f aca="false">Assumptions!$F$194</f>
        <v>1.1463</v>
      </c>
      <c r="O216" s="162" t="n">
        <f aca="false">Assumptions!$F$194</f>
        <v>1.1463</v>
      </c>
      <c r="P216" s="162" t="n">
        <f aca="false">Assumptions!$F$194</f>
        <v>1.1463</v>
      </c>
      <c r="Q216" s="162" t="n">
        <f aca="false">Assumptions!$F$194</f>
        <v>1.1463</v>
      </c>
      <c r="R216" s="162" t="n">
        <f aca="false">Assumptions!$F$194</f>
        <v>1.1463</v>
      </c>
      <c r="S216" s="162" t="n">
        <f aca="false">Assumptions!$F$194</f>
        <v>1.1463</v>
      </c>
      <c r="T216" s="162" t="n">
        <f aca="false">Assumptions!$F$194</f>
        <v>1.1463</v>
      </c>
      <c r="U216" s="162" t="n">
        <f aca="false">Assumptions!$F$194</f>
        <v>1.1463</v>
      </c>
      <c r="V216" s="162" t="n">
        <f aca="false">Assumptions!$F$194</f>
        <v>1.1463</v>
      </c>
      <c r="W216" s="162" t="n">
        <f aca="false">Assumptions!$F$194</f>
        <v>1.1463</v>
      </c>
      <c r="X216" s="162" t="n">
        <f aca="false">Assumptions!$F$194</f>
        <v>1.1463</v>
      </c>
      <c r="Y216" s="162" t="n">
        <f aca="false">Assumptions!$F$194</f>
        <v>1.1463</v>
      </c>
      <c r="Z216" s="162" t="n">
        <f aca="false">Assumptions!$F$194</f>
        <v>1.1463</v>
      </c>
      <c r="AA216" s="162" t="n">
        <f aca="false">Assumptions!$F$194</f>
        <v>1.1463</v>
      </c>
      <c r="AB216" s="162" t="n">
        <f aca="false">Assumptions!$F$194</f>
        <v>1.1463</v>
      </c>
    </row>
    <row r="217" customFormat="false" ht="15" hidden="false" customHeight="false" outlineLevel="0" collapsed="false">
      <c r="A217" s="27" t="s">
        <v>2006</v>
      </c>
      <c r="E217" s="163" t="n">
        <v>0.02137</v>
      </c>
      <c r="F217" s="163" t="n">
        <v>0.02146</v>
      </c>
      <c r="G217" s="163" t="n">
        <v>0.02322</v>
      </c>
      <c r="H217" s="163" t="n">
        <v>0.02454</v>
      </c>
      <c r="I217" s="163" t="n">
        <v>0.02535</v>
      </c>
      <c r="J217" s="163" t="n">
        <v>0.02598</v>
      </c>
      <c r="K217" s="163" t="n">
        <v>0.02635</v>
      </c>
      <c r="L217" s="163" t="n">
        <v>0.02711</v>
      </c>
      <c r="M217" s="164" t="n">
        <f aca="false">Assumptions!$F$193</f>
        <v>0.0275</v>
      </c>
      <c r="N217" s="164" t="n">
        <f aca="false">Assumptions!$F$193</f>
        <v>0.0275</v>
      </c>
      <c r="O217" s="164" t="n">
        <f aca="false">Assumptions!$F$193</f>
        <v>0.0275</v>
      </c>
      <c r="P217" s="164" t="n">
        <f aca="false">Assumptions!$F$193</f>
        <v>0.0275</v>
      </c>
      <c r="Q217" s="164" t="n">
        <f aca="false">Assumptions!$F$193</f>
        <v>0.0275</v>
      </c>
      <c r="R217" s="164" t="n">
        <f aca="false">Assumptions!$F$193</f>
        <v>0.0275</v>
      </c>
      <c r="S217" s="164" t="n">
        <f aca="false">Assumptions!$F$193</f>
        <v>0.0275</v>
      </c>
      <c r="T217" s="164" t="n">
        <f aca="false">Assumptions!$F$193</f>
        <v>0.0275</v>
      </c>
      <c r="U217" s="164" t="n">
        <f aca="false">Assumptions!$F$193</f>
        <v>0.0275</v>
      </c>
      <c r="V217" s="164" t="n">
        <f aca="false">Assumptions!$F$193</f>
        <v>0.0275</v>
      </c>
      <c r="W217" s="164" t="n">
        <f aca="false">Assumptions!$F$193</f>
        <v>0.0275</v>
      </c>
      <c r="X217" s="164" t="n">
        <f aca="false">Assumptions!$F$193</f>
        <v>0.0275</v>
      </c>
      <c r="Y217" s="164" t="n">
        <f aca="false">Assumptions!$F$193</f>
        <v>0.0275</v>
      </c>
      <c r="Z217" s="164" t="n">
        <f aca="false">Assumptions!$F$193</f>
        <v>0.0275</v>
      </c>
      <c r="AA217" s="164" t="n">
        <f aca="false">Assumptions!$F$193</f>
        <v>0.0275</v>
      </c>
      <c r="AB217" s="164" t="n">
        <f aca="false">Assumptions!$F$193</f>
        <v>0.0275</v>
      </c>
    </row>
    <row r="218" customFormat="false" ht="15" hidden="false" customHeight="false" outlineLevel="0" collapsed="false">
      <c r="A218" s="27" t="s">
        <v>2007</v>
      </c>
      <c r="E218" s="165" t="n">
        <f aca="false">IF(Assumptions!E$203=2026,Assumptions!$C$94,Assumptions!$C$94*(1+Assumptions!$C$96))</f>
        <v>20.5</v>
      </c>
      <c r="F218" s="165" t="n">
        <f aca="false">IF(Assumptions!F$203=2026,Assumptions!$C$94,Assumptions!$C$94*(1+Assumptions!$C$96))</f>
        <v>20.5</v>
      </c>
      <c r="G218" s="165" t="n">
        <f aca="false">IF(Assumptions!G$203=2026,Assumptions!$C$94,Assumptions!$C$94*(1+Assumptions!$C$96))</f>
        <v>20.5</v>
      </c>
      <c r="H218" s="165" t="n">
        <f aca="false">IF(Assumptions!H$203=2026,Assumptions!$C$94,Assumptions!$C$94*(1+Assumptions!$C$96))</f>
        <v>20.5</v>
      </c>
      <c r="I218" s="165" t="n">
        <f aca="false">IF(Assumptions!I$203=2026,Assumptions!$C$94,Assumptions!$C$94*(1+Assumptions!$C$96))</f>
        <v>20.5</v>
      </c>
      <c r="J218" s="165" t="n">
        <f aca="false">IF(Assumptions!J$203=2026,Assumptions!$C$94,Assumptions!$C$94*(1+Assumptions!$C$96))</f>
        <v>20.5</v>
      </c>
      <c r="K218" s="165" t="n">
        <f aca="false">IF(Assumptions!K$203=2026,Assumptions!$C$94,Assumptions!$C$94*(1+Assumptions!$C$96))</f>
        <v>20.5</v>
      </c>
      <c r="L218" s="165" t="n">
        <f aca="false">IF(Assumptions!L$203=2026,Assumptions!$C$94,Assumptions!$C$94*(1+Assumptions!$C$96))</f>
        <v>20.5</v>
      </c>
      <c r="M218" s="165" t="n">
        <f aca="false">IF(Assumptions!M$203=2026,Assumptions!$C$94,Assumptions!$C$94*(1+Assumptions!$C$96))</f>
        <v>20.5</v>
      </c>
      <c r="N218" s="165" t="n">
        <f aca="false">IF(Assumptions!N$203=2026,Assumptions!$C$94,Assumptions!$C$94*(1+Assumptions!$C$96))</f>
        <v>20.5</v>
      </c>
      <c r="O218" s="165" t="n">
        <f aca="false">IF(Assumptions!O$203=2026,Assumptions!$C$94,Assumptions!$C$94*(1+Assumptions!$C$96))</f>
        <v>20.5</v>
      </c>
      <c r="P218" s="165" t="n">
        <f aca="false">IF(Assumptions!P$203=2026,Assumptions!$C$94,Assumptions!$C$94*(1+Assumptions!$C$96))</f>
        <v>20.5</v>
      </c>
      <c r="Q218" s="165" t="n">
        <f aca="false">IF(Assumptions!Q$203=2026,Assumptions!$C$94,Assumptions!$C$94*(1+Assumptions!$C$96))</f>
        <v>21.115</v>
      </c>
      <c r="R218" s="165" t="n">
        <f aca="false">IF(Assumptions!R$203=2026,Assumptions!$C$94,Assumptions!$C$94*(1+Assumptions!$C$96))</f>
        <v>21.115</v>
      </c>
      <c r="S218" s="165" t="n">
        <f aca="false">IF(Assumptions!S$203=2026,Assumptions!$C$94,Assumptions!$C$94*(1+Assumptions!$C$96))</f>
        <v>21.115</v>
      </c>
      <c r="T218" s="165" t="n">
        <f aca="false">IF(Assumptions!T$203=2026,Assumptions!$C$94,Assumptions!$C$94*(1+Assumptions!$C$96))</f>
        <v>21.115</v>
      </c>
      <c r="U218" s="165" t="n">
        <f aca="false">IF(Assumptions!U$203=2026,Assumptions!$C$94,Assumptions!$C$94*(1+Assumptions!$C$96))</f>
        <v>21.115</v>
      </c>
      <c r="V218" s="165" t="n">
        <f aca="false">IF(Assumptions!V$203=2026,Assumptions!$C$94,Assumptions!$C$94*(1+Assumptions!$C$96))</f>
        <v>21.115</v>
      </c>
      <c r="W218" s="165" t="n">
        <f aca="false">IF(Assumptions!W$203=2026,Assumptions!$C$94,Assumptions!$C$94*(1+Assumptions!$C$96))</f>
        <v>21.115</v>
      </c>
      <c r="X218" s="165" t="n">
        <f aca="false">IF(Assumptions!X$203=2026,Assumptions!$C$94,Assumptions!$C$94*(1+Assumptions!$C$96))</f>
        <v>21.115</v>
      </c>
      <c r="Y218" s="165" t="n">
        <f aca="false">IF(Assumptions!Y$203=2026,Assumptions!$C$94,Assumptions!$C$94*(1+Assumptions!$C$96))</f>
        <v>21.115</v>
      </c>
      <c r="Z218" s="165" t="n">
        <f aca="false">IF(Assumptions!Z$203=2026,Assumptions!$C$94,Assumptions!$C$94*(1+Assumptions!$C$96))</f>
        <v>21.115</v>
      </c>
      <c r="AA218" s="165" t="n">
        <f aca="false">IF(Assumptions!AA$203=2026,Assumptions!$C$94,Assumptions!$C$94*(1+Assumptions!$C$96))</f>
        <v>21.115</v>
      </c>
      <c r="AB218" s="165" t="n">
        <f aca="false">IF(Assumptions!AB$203=2026,Assumptions!$C$94,Assumptions!$C$94*(1+Assumptions!$C$96))</f>
        <v>21.115</v>
      </c>
    </row>
    <row r="219" customFormat="false" ht="15" hidden="false" customHeight="false" outlineLevel="0" collapsed="false">
      <c r="A219" s="27" t="s">
        <v>2008</v>
      </c>
      <c r="E219" s="165" t="n">
        <f aca="false">IF(Assumptions!E$203=2026,Assumptions!$C$95,Assumptions!$C$95*(1+Assumptions!$C$96))</f>
        <v>17.3</v>
      </c>
      <c r="F219" s="165" t="n">
        <f aca="false">IF(Assumptions!F$203=2026,Assumptions!$C$95,Assumptions!$C$95*(1+Assumptions!$C$96))</f>
        <v>17.3</v>
      </c>
      <c r="G219" s="165" t="n">
        <f aca="false">IF(Assumptions!G$203=2026,Assumptions!$C$95,Assumptions!$C$95*(1+Assumptions!$C$96))</f>
        <v>17.3</v>
      </c>
      <c r="H219" s="165" t="n">
        <f aca="false">IF(Assumptions!H$203=2026,Assumptions!$C$95,Assumptions!$C$95*(1+Assumptions!$C$96))</f>
        <v>17.3</v>
      </c>
      <c r="I219" s="165" t="n">
        <f aca="false">IF(Assumptions!I$203=2026,Assumptions!$C$95,Assumptions!$C$95*(1+Assumptions!$C$96))</f>
        <v>17.3</v>
      </c>
      <c r="J219" s="165" t="n">
        <f aca="false">IF(Assumptions!J$203=2026,Assumptions!$C$95,Assumptions!$C$95*(1+Assumptions!$C$96))</f>
        <v>17.3</v>
      </c>
      <c r="K219" s="165" t="n">
        <f aca="false">IF(Assumptions!K$203=2026,Assumptions!$C$95,Assumptions!$C$95*(1+Assumptions!$C$96))</f>
        <v>17.3</v>
      </c>
      <c r="L219" s="165" t="n">
        <f aca="false">IF(Assumptions!L$203=2026,Assumptions!$C$95,Assumptions!$C$95*(1+Assumptions!$C$96))</f>
        <v>17.3</v>
      </c>
      <c r="M219" s="165" t="n">
        <f aca="false">IF(Assumptions!M$203=2026,Assumptions!$C$95,Assumptions!$C$95*(1+Assumptions!$C$96))</f>
        <v>17.3</v>
      </c>
      <c r="N219" s="165" t="n">
        <f aca="false">IF(Assumptions!N$203=2026,Assumptions!$C$95,Assumptions!$C$95*(1+Assumptions!$C$96))</f>
        <v>17.3</v>
      </c>
      <c r="O219" s="165" t="n">
        <f aca="false">IF(Assumptions!O$203=2026,Assumptions!$C$95,Assumptions!$C$95*(1+Assumptions!$C$96))</f>
        <v>17.3</v>
      </c>
      <c r="P219" s="165" t="n">
        <f aca="false">IF(Assumptions!P$203=2026,Assumptions!$C$95,Assumptions!$C$95*(1+Assumptions!$C$96))</f>
        <v>17.3</v>
      </c>
      <c r="Q219" s="165" t="n">
        <f aca="false">IF(Assumptions!Q$203=2026,Assumptions!$C$95,Assumptions!$C$95*(1+Assumptions!$C$96))</f>
        <v>17.819</v>
      </c>
      <c r="R219" s="165" t="n">
        <f aca="false">IF(Assumptions!R$203=2026,Assumptions!$C$95,Assumptions!$C$95*(1+Assumptions!$C$96))</f>
        <v>17.819</v>
      </c>
      <c r="S219" s="165" t="n">
        <f aca="false">IF(Assumptions!S$203=2026,Assumptions!$C$95,Assumptions!$C$95*(1+Assumptions!$C$96))</f>
        <v>17.819</v>
      </c>
      <c r="T219" s="165" t="n">
        <f aca="false">IF(Assumptions!T$203=2026,Assumptions!$C$95,Assumptions!$C$95*(1+Assumptions!$C$96))</f>
        <v>17.819</v>
      </c>
      <c r="U219" s="165" t="n">
        <f aca="false">IF(Assumptions!U$203=2026,Assumptions!$C$95,Assumptions!$C$95*(1+Assumptions!$C$96))</f>
        <v>17.819</v>
      </c>
      <c r="V219" s="165" t="n">
        <f aca="false">IF(Assumptions!V$203=2026,Assumptions!$C$95,Assumptions!$C$95*(1+Assumptions!$C$96))</f>
        <v>17.819</v>
      </c>
      <c r="W219" s="165" t="n">
        <f aca="false">IF(Assumptions!W$203=2026,Assumptions!$C$95,Assumptions!$C$95*(1+Assumptions!$C$96))</f>
        <v>17.819</v>
      </c>
      <c r="X219" s="165" t="n">
        <f aca="false">IF(Assumptions!X$203=2026,Assumptions!$C$95,Assumptions!$C$95*(1+Assumptions!$C$96))</f>
        <v>17.819</v>
      </c>
      <c r="Y219" s="165" t="n">
        <f aca="false">IF(Assumptions!Y$203=2026,Assumptions!$C$95,Assumptions!$C$95*(1+Assumptions!$C$96))</f>
        <v>17.819</v>
      </c>
      <c r="Z219" s="165" t="n">
        <f aca="false">IF(Assumptions!Z$203=2026,Assumptions!$C$95,Assumptions!$C$95*(1+Assumptions!$C$96))</f>
        <v>17.819</v>
      </c>
      <c r="AA219" s="165" t="n">
        <f aca="false">IF(Assumptions!AA$203=2026,Assumptions!$C$95,Assumptions!$C$95*(1+Assumptions!$C$96))</f>
        <v>17.819</v>
      </c>
      <c r="AB219" s="165" t="n">
        <f aca="false">IF(Assumptions!AB$203=2026,Assumptions!$C$95,Assumptions!$C$95*(1+Assumptions!$C$96))</f>
        <v>17.819</v>
      </c>
    </row>
    <row r="220" customFormat="false" ht="15" hidden="false" customHeight="false" outlineLevel="0" collapsed="false">
      <c r="A220" s="27" t="s">
        <v>2009</v>
      </c>
      <c r="E220" s="160" t="n">
        <f aca="false">IF(Assumptions!E$203=2026,Assumptions!$C$22,Assumptions!$C$23)</f>
        <v>0.19</v>
      </c>
      <c r="F220" s="160" t="n">
        <f aca="false">IF(Assumptions!F$203=2026,Assumptions!$C$22,Assumptions!$C$23)</f>
        <v>0.19</v>
      </c>
      <c r="G220" s="160" t="n">
        <f aca="false">IF(Assumptions!G$203=2026,Assumptions!$C$22,Assumptions!$C$23)</f>
        <v>0.19</v>
      </c>
      <c r="H220" s="160" t="n">
        <f aca="false">IF(Assumptions!H$203=2026,Assumptions!$C$22,Assumptions!$C$23)</f>
        <v>0.19</v>
      </c>
      <c r="I220" s="160" t="n">
        <f aca="false">IF(Assumptions!I$203=2026,Assumptions!$C$22,Assumptions!$C$23)</f>
        <v>0.19</v>
      </c>
      <c r="J220" s="160" t="n">
        <f aca="false">IF(Assumptions!J$203=2026,Assumptions!$C$22,Assumptions!$C$23)</f>
        <v>0.19</v>
      </c>
      <c r="K220" s="160" t="n">
        <f aca="false">IF(Assumptions!K$203=2026,Assumptions!$C$22,Assumptions!$C$23)</f>
        <v>0.19</v>
      </c>
      <c r="L220" s="160" t="n">
        <f aca="false">IF(Assumptions!L$203=2026,Assumptions!$C$22,Assumptions!$C$23)</f>
        <v>0.19</v>
      </c>
      <c r="M220" s="160" t="n">
        <f aca="false">IF(Assumptions!M$203=2026,Assumptions!$C$22,Assumptions!$C$23)</f>
        <v>0.19</v>
      </c>
      <c r="N220" s="160" t="n">
        <f aca="false">IF(Assumptions!N$203=2026,Assumptions!$C$22,Assumptions!$C$23)</f>
        <v>0.19</v>
      </c>
      <c r="O220" s="160" t="n">
        <f aca="false">IF(Assumptions!O$203=2026,Assumptions!$C$22,Assumptions!$C$23)</f>
        <v>0.19</v>
      </c>
      <c r="P220" s="160" t="n">
        <f aca="false">IF(Assumptions!P$203=2026,Assumptions!$C$22,Assumptions!$C$23)</f>
        <v>0.19</v>
      </c>
      <c r="Q220" s="160" t="n">
        <f aca="false">IF(Assumptions!Q$203=2026,Assumptions!$C$22,Assumptions!$C$23)</f>
        <v>0.18</v>
      </c>
      <c r="R220" s="160" t="n">
        <f aca="false">IF(Assumptions!R$203=2026,Assumptions!$C$22,Assumptions!$C$23)</f>
        <v>0.18</v>
      </c>
      <c r="S220" s="160" t="n">
        <f aca="false">IF(Assumptions!S$203=2026,Assumptions!$C$22,Assumptions!$C$23)</f>
        <v>0.18</v>
      </c>
      <c r="T220" s="160" t="n">
        <f aca="false">IF(Assumptions!T$203=2026,Assumptions!$C$22,Assumptions!$C$23)</f>
        <v>0.18</v>
      </c>
      <c r="U220" s="160" t="n">
        <f aca="false">IF(Assumptions!U$203=2026,Assumptions!$C$22,Assumptions!$C$23)</f>
        <v>0.18</v>
      </c>
      <c r="V220" s="160" t="n">
        <f aca="false">IF(Assumptions!V$203=2026,Assumptions!$C$22,Assumptions!$C$23)</f>
        <v>0.18</v>
      </c>
      <c r="W220" s="160" t="n">
        <f aca="false">IF(Assumptions!W$203=2026,Assumptions!$C$22,Assumptions!$C$23)</f>
        <v>0.18</v>
      </c>
      <c r="X220" s="160" t="n">
        <f aca="false">IF(Assumptions!X$203=2026,Assumptions!$C$22,Assumptions!$C$23)</f>
        <v>0.18</v>
      </c>
      <c r="Y220" s="160" t="n">
        <f aca="false">IF(Assumptions!Y$203=2026,Assumptions!$C$22,Assumptions!$C$23)</f>
        <v>0.18</v>
      </c>
      <c r="Z220" s="160" t="n">
        <f aca="false">IF(Assumptions!Z$203=2026,Assumptions!$C$22,Assumptions!$C$23)</f>
        <v>0.18</v>
      </c>
      <c r="AA220" s="160" t="n">
        <f aca="false">IF(Assumptions!AA$203=2026,Assumptions!$C$22,Assumptions!$C$23)</f>
        <v>0.18</v>
      </c>
      <c r="AB220" s="160" t="n">
        <f aca="false">IF(Assumptions!AB$203=2026,Assumptions!$C$22,Assumptions!$C$23)</f>
        <v>0.18</v>
      </c>
    </row>
  </sheetData>
  <dataValidations count="1">
    <dataValidation allowBlank="false" errorStyle="stop" operator="between" showDropDown="false" showErrorMessage="false" showInputMessage="false" sqref="C11" type="list">
      <formula1>"1,2,3"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1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2010</v>
      </c>
    </row>
    <row r="3" customFormat="false" ht="15" hidden="false" customHeight="false" outlineLevel="0" collapsed="false">
      <c r="A3" s="50" t="s">
        <v>2011</v>
      </c>
    </row>
    <row r="4" customFormat="false" ht="15" hidden="false" customHeight="false" outlineLevel="0" collapsed="false">
      <c r="A4" s="51" t="s">
        <v>345</v>
      </c>
      <c r="B4" s="51" t="s">
        <v>346</v>
      </c>
      <c r="C4" s="52" t="s">
        <v>347</v>
      </c>
      <c r="D4" s="52" t="s">
        <v>348</v>
      </c>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c r="Q4" s="53" t="n">
        <f aca="false">Assumptions!Q$200</f>
        <v>46418</v>
      </c>
      <c r="R4" s="53" t="n">
        <f aca="false">Assumptions!R$200</f>
        <v>46446</v>
      </c>
      <c r="S4" s="53" t="n">
        <f aca="false">Assumptions!S$200</f>
        <v>46477</v>
      </c>
      <c r="T4" s="53" t="n">
        <f aca="false">Assumptions!T$200</f>
        <v>46507</v>
      </c>
      <c r="U4" s="53" t="n">
        <f aca="false">Assumptions!U$200</f>
        <v>46538</v>
      </c>
      <c r="V4" s="53" t="n">
        <f aca="false">Assumptions!V$200</f>
        <v>46568</v>
      </c>
      <c r="W4" s="53" t="n">
        <f aca="false">Assumptions!W$200</f>
        <v>46599</v>
      </c>
      <c r="X4" s="53" t="n">
        <f aca="false">Assumptions!X$200</f>
        <v>46630</v>
      </c>
      <c r="Y4" s="53" t="n">
        <f aca="false">Assumptions!Y$200</f>
        <v>46660</v>
      </c>
      <c r="Z4" s="53" t="n">
        <f aca="false">Assumptions!Z$200</f>
        <v>46691</v>
      </c>
      <c r="AA4" s="53" t="n">
        <f aca="false">Assumptions!AA$200</f>
        <v>46721</v>
      </c>
      <c r="AB4" s="53" t="n">
        <f aca="false">Assumptions!AB$200</f>
        <v>46752</v>
      </c>
    </row>
    <row r="5" customFormat="false" ht="15" hidden="false" customHeight="false" outlineLevel="0" collapsed="false">
      <c r="A5" s="54" t="s">
        <v>349</v>
      </c>
      <c r="B5" s="55"/>
      <c r="C5" s="56" t="s">
        <v>350</v>
      </c>
      <c r="D5" s="56" t="s">
        <v>351</v>
      </c>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c r="Q5" s="56" t="str">
        <f aca="false">Assumptions!Q$202</f>
        <v>F</v>
      </c>
      <c r="R5" s="56" t="str">
        <f aca="false">Assumptions!R$202</f>
        <v>F</v>
      </c>
      <c r="S5" s="56" t="str">
        <f aca="false">Assumptions!S$202</f>
        <v>F</v>
      </c>
      <c r="T5" s="56" t="str">
        <f aca="false">Assumptions!T$202</f>
        <v>F</v>
      </c>
      <c r="U5" s="56" t="str">
        <f aca="false">Assumptions!U$202</f>
        <v>F</v>
      </c>
      <c r="V5" s="56" t="str">
        <f aca="false">Assumptions!V$202</f>
        <v>F</v>
      </c>
      <c r="W5" s="56" t="str">
        <f aca="false">Assumptions!W$202</f>
        <v>F</v>
      </c>
      <c r="X5" s="56" t="str">
        <f aca="false">Assumptions!X$202</f>
        <v>F</v>
      </c>
      <c r="Y5" s="56" t="str">
        <f aca="false">Assumptions!Y$202</f>
        <v>F</v>
      </c>
      <c r="Z5" s="56" t="str">
        <f aca="false">Assumptions!Z$202</f>
        <v>F</v>
      </c>
      <c r="AA5" s="56" t="str">
        <f aca="false">Assumptions!AA$202</f>
        <v>F</v>
      </c>
      <c r="AB5" s="56" t="str">
        <f aca="false">Assumptions!AB$202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c r="Q6" s="58" t="n">
        <f aca="false">Assumptions!Q$201</f>
        <v>13</v>
      </c>
      <c r="R6" s="58" t="n">
        <f aca="false">Assumptions!R$201</f>
        <v>14</v>
      </c>
      <c r="S6" s="58" t="n">
        <f aca="false">Assumptions!S$201</f>
        <v>15</v>
      </c>
      <c r="T6" s="58" t="n">
        <f aca="false">Assumptions!T$201</f>
        <v>16</v>
      </c>
      <c r="U6" s="58" t="n">
        <f aca="false">Assumptions!U$201</f>
        <v>17</v>
      </c>
      <c r="V6" s="58" t="n">
        <f aca="false">Assumptions!V$201</f>
        <v>18</v>
      </c>
      <c r="W6" s="58" t="n">
        <f aca="false">Assumptions!W$201</f>
        <v>19</v>
      </c>
      <c r="X6" s="58" t="n">
        <f aca="false">Assumptions!X$201</f>
        <v>20</v>
      </c>
      <c r="Y6" s="58" t="n">
        <f aca="false">Assumptions!Y$201</f>
        <v>21</v>
      </c>
      <c r="Z6" s="58" t="n">
        <f aca="false">Assumptions!Z$201</f>
        <v>22</v>
      </c>
      <c r="AA6" s="58" t="n">
        <f aca="false">Assumptions!AA$201</f>
        <v>23</v>
      </c>
      <c r="AB6" s="58" t="n">
        <f aca="false">Assumptions!AB$201</f>
        <v>24</v>
      </c>
    </row>
    <row r="8" customFormat="false" ht="15" hidden="false" customHeight="false" outlineLevel="0" collapsed="false">
      <c r="A8" s="21" t="s">
        <v>2012</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2013</v>
      </c>
      <c r="B9" s="63" t="s">
        <v>2014</v>
      </c>
      <c r="C9" s="66" t="n">
        <f aca="false">P9</f>
        <v>0</v>
      </c>
      <c r="E9" s="115" t="n">
        <v>422</v>
      </c>
      <c r="F9" s="115" t="n">
        <v>423</v>
      </c>
      <c r="G9" s="115" t="n">
        <v>422</v>
      </c>
      <c r="H9" s="115" t="n">
        <v>423</v>
      </c>
      <c r="I9" s="115" t="n">
        <v>423</v>
      </c>
      <c r="J9" s="115" t="n">
        <v>424</v>
      </c>
      <c r="K9" s="115" t="n">
        <v>424</v>
      </c>
      <c r="L9" s="115" t="n">
        <v>425</v>
      </c>
    </row>
    <row r="10" customFormat="false" ht="15" hidden="false" customHeight="false" outlineLevel="0" collapsed="false">
      <c r="A10" s="27" t="s">
        <v>2015</v>
      </c>
      <c r="B10" s="63" t="s">
        <v>2014</v>
      </c>
      <c r="C10" s="66" t="n">
        <f aca="false">P10</f>
        <v>0</v>
      </c>
      <c r="E10" s="115" t="n">
        <v>260</v>
      </c>
      <c r="F10" s="115" t="n">
        <v>262</v>
      </c>
      <c r="G10" s="115" t="n">
        <v>262</v>
      </c>
      <c r="H10" s="115" t="n">
        <v>263</v>
      </c>
      <c r="I10" s="115" t="n">
        <v>265</v>
      </c>
      <c r="J10" s="115" t="n">
        <v>266</v>
      </c>
      <c r="K10" s="115" t="n">
        <v>267</v>
      </c>
      <c r="L10" s="115" t="n">
        <v>269</v>
      </c>
    </row>
    <row r="11" customFormat="false" ht="15" hidden="false" customHeight="false" outlineLevel="0" collapsed="false">
      <c r="A11" s="27" t="s">
        <v>2016</v>
      </c>
      <c r="B11" s="63" t="s">
        <v>2014</v>
      </c>
      <c r="C11" s="66" t="n">
        <f aca="false">P11</f>
        <v>0</v>
      </c>
      <c r="E11" s="115" t="n">
        <v>150</v>
      </c>
      <c r="F11" s="115" t="n">
        <v>151</v>
      </c>
      <c r="G11" s="115" t="n">
        <v>152</v>
      </c>
      <c r="H11" s="115" t="n">
        <v>152</v>
      </c>
      <c r="I11" s="115" t="n">
        <v>153</v>
      </c>
      <c r="J11" s="115" t="n">
        <v>153</v>
      </c>
      <c r="K11" s="115" t="n">
        <v>153</v>
      </c>
      <c r="L11" s="115" t="n">
        <v>153</v>
      </c>
    </row>
    <row r="12" customFormat="false" ht="15" hidden="false" customHeight="false" outlineLevel="0" collapsed="false">
      <c r="A12" s="27" t="s">
        <v>2017</v>
      </c>
      <c r="B12" s="63" t="s">
        <v>2014</v>
      </c>
      <c r="C12" s="66" t="n">
        <f aca="false">P12</f>
        <v>0</v>
      </c>
      <c r="E12" s="115" t="n">
        <v>95</v>
      </c>
      <c r="F12" s="115" t="n">
        <v>95</v>
      </c>
      <c r="G12" s="115" t="n">
        <v>95</v>
      </c>
      <c r="H12" s="115" t="n">
        <v>96</v>
      </c>
      <c r="I12" s="115" t="n">
        <v>96</v>
      </c>
      <c r="J12" s="115" t="n">
        <v>96</v>
      </c>
      <c r="K12" s="115" t="n">
        <v>95</v>
      </c>
      <c r="L12" s="115" t="n">
        <v>96</v>
      </c>
    </row>
    <row r="13" customFormat="false" ht="15" hidden="false" customHeight="false" outlineLevel="0" collapsed="false">
      <c r="A13" s="27" t="s">
        <v>2018</v>
      </c>
      <c r="B13" s="63" t="s">
        <v>2014</v>
      </c>
      <c r="C13" s="66" t="n">
        <f aca="false">P13</f>
        <v>0</v>
      </c>
      <c r="E13" s="115" t="n">
        <v>311</v>
      </c>
      <c r="F13" s="115" t="n">
        <v>312</v>
      </c>
      <c r="G13" s="115" t="n">
        <v>312</v>
      </c>
      <c r="H13" s="115" t="n">
        <v>312</v>
      </c>
      <c r="I13" s="115" t="n">
        <v>312</v>
      </c>
      <c r="J13" s="115" t="n">
        <v>312</v>
      </c>
      <c r="K13" s="115" t="n">
        <v>313</v>
      </c>
      <c r="L13" s="115" t="n">
        <v>314</v>
      </c>
    </row>
    <row r="14" customFormat="false" ht="15" hidden="false" customHeight="false" outlineLevel="0" collapsed="false">
      <c r="A14" s="27" t="s">
        <v>2019</v>
      </c>
      <c r="B14" s="63" t="s">
        <v>2014</v>
      </c>
      <c r="C14" s="66" t="n">
        <f aca="false">P14</f>
        <v>0</v>
      </c>
      <c r="E14" s="115" t="n">
        <v>121</v>
      </c>
      <c r="F14" s="115" t="n">
        <v>121</v>
      </c>
      <c r="G14" s="115" t="n">
        <v>122</v>
      </c>
      <c r="H14" s="115" t="n">
        <v>122</v>
      </c>
      <c r="I14" s="115" t="n">
        <v>121</v>
      </c>
      <c r="J14" s="115" t="n">
        <v>122</v>
      </c>
      <c r="K14" s="115" t="n">
        <v>122</v>
      </c>
      <c r="L14" s="115" t="n">
        <v>122</v>
      </c>
    </row>
    <row r="15" customFormat="false" ht="15" hidden="false" customHeight="false" outlineLevel="0" collapsed="false">
      <c r="A15" s="27" t="s">
        <v>2020</v>
      </c>
      <c r="B15" s="63" t="s">
        <v>2014</v>
      </c>
      <c r="C15" s="66" t="n">
        <f aca="false">P15</f>
        <v>0</v>
      </c>
      <c r="E15" s="115" t="n">
        <v>86</v>
      </c>
      <c r="F15" s="115" t="n">
        <v>86</v>
      </c>
      <c r="G15" s="115" t="n">
        <v>87</v>
      </c>
      <c r="H15" s="115" t="n">
        <v>87</v>
      </c>
      <c r="I15" s="115" t="n">
        <v>87</v>
      </c>
      <c r="J15" s="115" t="n">
        <v>87</v>
      </c>
      <c r="K15" s="115" t="n">
        <v>88</v>
      </c>
      <c r="L15" s="115" t="n">
        <v>88</v>
      </c>
    </row>
    <row r="16" customFormat="false" ht="15" hidden="false" customHeight="false" outlineLevel="0" collapsed="false">
      <c r="A16" s="27" t="s">
        <v>2021</v>
      </c>
      <c r="B16" s="63" t="s">
        <v>2014</v>
      </c>
      <c r="C16" s="66" t="n">
        <f aca="false">P16</f>
        <v>0</v>
      </c>
      <c r="E16" s="115" t="n">
        <v>180</v>
      </c>
      <c r="F16" s="115" t="n">
        <v>181</v>
      </c>
      <c r="G16" s="115" t="n">
        <v>182</v>
      </c>
      <c r="H16" s="115" t="n">
        <v>183</v>
      </c>
      <c r="I16" s="115" t="n">
        <v>184</v>
      </c>
      <c r="J16" s="115" t="n">
        <v>185</v>
      </c>
      <c r="K16" s="115" t="n">
        <v>185</v>
      </c>
      <c r="L16" s="115" t="n">
        <v>185</v>
      </c>
    </row>
    <row r="17" customFormat="false" ht="15" hidden="false" customHeight="false" outlineLevel="0" collapsed="false">
      <c r="A17" s="27" t="s">
        <v>2022</v>
      </c>
      <c r="B17" s="63" t="s">
        <v>2014</v>
      </c>
      <c r="C17" s="66" t="n">
        <f aca="false">P17</f>
        <v>0</v>
      </c>
      <c r="E17" s="115" t="n">
        <v>139</v>
      </c>
      <c r="F17" s="115" t="n">
        <v>140</v>
      </c>
      <c r="G17" s="115" t="n">
        <v>140</v>
      </c>
      <c r="H17" s="115" t="n">
        <v>141</v>
      </c>
      <c r="I17" s="115" t="n">
        <v>142</v>
      </c>
      <c r="J17" s="115" t="n">
        <v>142</v>
      </c>
      <c r="K17" s="115" t="n">
        <v>142</v>
      </c>
      <c r="L17" s="115" t="n">
        <v>143</v>
      </c>
    </row>
    <row r="18" customFormat="false" ht="15" hidden="false" customHeight="false" outlineLevel="0" collapsed="false">
      <c r="A18" s="27" t="s">
        <v>2023</v>
      </c>
      <c r="B18" s="63" t="s">
        <v>2014</v>
      </c>
      <c r="C18" s="66" t="n">
        <f aca="false">P18</f>
        <v>0</v>
      </c>
      <c r="E18" s="115" t="n">
        <v>60</v>
      </c>
      <c r="F18" s="115" t="n">
        <v>60</v>
      </c>
      <c r="G18" s="115" t="n">
        <v>60</v>
      </c>
      <c r="H18" s="115" t="n">
        <v>60</v>
      </c>
      <c r="I18" s="115" t="n">
        <v>60</v>
      </c>
      <c r="J18" s="115" t="n">
        <v>61</v>
      </c>
      <c r="K18" s="115" t="n">
        <v>61</v>
      </c>
      <c r="L18" s="115" t="n">
        <v>61</v>
      </c>
    </row>
    <row r="19" customFormat="false" ht="15" hidden="false" customHeight="false" outlineLevel="0" collapsed="false">
      <c r="A19" s="27" t="s">
        <v>2024</v>
      </c>
      <c r="B19" s="63" t="s">
        <v>2014</v>
      </c>
      <c r="C19" s="66" t="n">
        <f aca="false">P19</f>
        <v>0</v>
      </c>
      <c r="E19" s="115" t="n">
        <v>130</v>
      </c>
      <c r="F19" s="115" t="n">
        <v>131</v>
      </c>
      <c r="G19" s="115" t="n">
        <v>131</v>
      </c>
      <c r="H19" s="115" t="n">
        <v>131</v>
      </c>
      <c r="I19" s="115" t="n">
        <v>131</v>
      </c>
      <c r="J19" s="115" t="n">
        <v>131</v>
      </c>
      <c r="K19" s="115" t="n">
        <v>131</v>
      </c>
      <c r="L19" s="115" t="n">
        <v>132</v>
      </c>
    </row>
    <row r="20" customFormat="false" ht="15" hidden="false" customHeight="false" outlineLevel="0" collapsed="false">
      <c r="A20" s="27" t="s">
        <v>2025</v>
      </c>
      <c r="B20" s="63" t="s">
        <v>2014</v>
      </c>
      <c r="C20" s="66" t="n">
        <f aca="false">P20</f>
        <v>0</v>
      </c>
      <c r="E20" s="115" t="n">
        <v>110</v>
      </c>
      <c r="F20" s="115" t="n">
        <v>110</v>
      </c>
      <c r="G20" s="115" t="n">
        <v>111</v>
      </c>
      <c r="H20" s="115" t="n">
        <v>110</v>
      </c>
      <c r="I20" s="115" t="n">
        <v>110</v>
      </c>
      <c r="J20" s="115" t="n">
        <v>111</v>
      </c>
      <c r="K20" s="115" t="n">
        <v>111</v>
      </c>
      <c r="L20" s="115" t="n">
        <v>111</v>
      </c>
    </row>
    <row r="21" customFormat="false" ht="15" hidden="false" customHeight="false" outlineLevel="0" collapsed="false">
      <c r="A21" s="27" t="s">
        <v>2026</v>
      </c>
      <c r="B21" s="63" t="s">
        <v>2014</v>
      </c>
      <c r="C21" s="66" t="n">
        <f aca="false">P21</f>
        <v>0</v>
      </c>
      <c r="E21" s="115" t="n">
        <v>70</v>
      </c>
      <c r="F21" s="115" t="n">
        <v>70</v>
      </c>
      <c r="G21" s="115" t="n">
        <v>70</v>
      </c>
      <c r="H21" s="115" t="n">
        <v>71</v>
      </c>
      <c r="I21" s="115" t="n">
        <v>71</v>
      </c>
      <c r="J21" s="115" t="n">
        <v>71</v>
      </c>
      <c r="K21" s="115" t="n">
        <v>71</v>
      </c>
      <c r="L21" s="115" t="n">
        <v>71</v>
      </c>
    </row>
    <row r="22" customFormat="false" ht="15" hidden="false" customHeight="false" outlineLevel="0" collapsed="false">
      <c r="A22" s="27" t="s">
        <v>2027</v>
      </c>
      <c r="B22" s="63" t="s">
        <v>2014</v>
      </c>
      <c r="C22" s="66" t="n">
        <f aca="false">P22</f>
        <v>0</v>
      </c>
      <c r="E22" s="115" t="n">
        <v>90</v>
      </c>
      <c r="F22" s="115" t="n">
        <v>91</v>
      </c>
      <c r="G22" s="115" t="n">
        <v>91</v>
      </c>
      <c r="H22" s="115" t="n">
        <v>91</v>
      </c>
      <c r="I22" s="115" t="n">
        <v>92</v>
      </c>
      <c r="J22" s="115" t="n">
        <v>92</v>
      </c>
      <c r="K22" s="115" t="n">
        <v>92</v>
      </c>
      <c r="L22" s="115" t="n">
        <v>92</v>
      </c>
    </row>
    <row r="23" customFormat="false" ht="15" hidden="false" customHeight="false" outlineLevel="0" collapsed="false">
      <c r="A23" s="27" t="s">
        <v>2028</v>
      </c>
      <c r="B23" s="63" t="s">
        <v>2014</v>
      </c>
      <c r="C23" s="66" t="n">
        <f aca="false">P23</f>
        <v>0</v>
      </c>
      <c r="E23" s="115" t="n">
        <v>75</v>
      </c>
      <c r="F23" s="115" t="n">
        <v>76</v>
      </c>
      <c r="G23" s="115" t="n">
        <v>76</v>
      </c>
      <c r="H23" s="115" t="n">
        <v>77</v>
      </c>
      <c r="I23" s="115" t="n">
        <v>77</v>
      </c>
      <c r="J23" s="115" t="n">
        <v>77</v>
      </c>
      <c r="K23" s="115" t="n">
        <v>77</v>
      </c>
      <c r="L23" s="115" t="n">
        <v>78</v>
      </c>
    </row>
    <row r="24" customFormat="false" ht="15" hidden="false" customHeight="false" outlineLevel="0" collapsed="false">
      <c r="A24" s="27" t="s">
        <v>2029</v>
      </c>
      <c r="B24" s="63" t="s">
        <v>2014</v>
      </c>
      <c r="C24" s="66" t="n">
        <f aca="false">P24</f>
        <v>0</v>
      </c>
      <c r="E24" s="115" t="n">
        <v>160</v>
      </c>
      <c r="F24" s="115" t="n">
        <v>160</v>
      </c>
      <c r="G24" s="115" t="n">
        <v>160</v>
      </c>
      <c r="H24" s="115" t="n">
        <v>161</v>
      </c>
      <c r="I24" s="115" t="n">
        <v>160</v>
      </c>
      <c r="J24" s="115" t="n">
        <v>161</v>
      </c>
      <c r="K24" s="115" t="n">
        <v>161</v>
      </c>
      <c r="L24" s="115" t="n">
        <v>162</v>
      </c>
    </row>
    <row r="25" customFormat="false" ht="15" hidden="false" customHeight="false" outlineLevel="0" collapsed="false">
      <c r="A25" s="27" t="s">
        <v>2030</v>
      </c>
      <c r="B25" s="63" t="s">
        <v>2014</v>
      </c>
      <c r="C25" s="66" t="n">
        <f aca="false">P25</f>
        <v>0</v>
      </c>
      <c r="E25" s="115" t="n">
        <v>116</v>
      </c>
      <c r="F25" s="115" t="n">
        <v>116</v>
      </c>
      <c r="G25" s="115" t="n">
        <v>117</v>
      </c>
      <c r="H25" s="115" t="n">
        <v>118</v>
      </c>
      <c r="I25" s="115" t="n">
        <v>118</v>
      </c>
      <c r="J25" s="115" t="n">
        <v>119</v>
      </c>
      <c r="K25" s="115" t="n">
        <v>119</v>
      </c>
      <c r="L25" s="115" t="n">
        <v>119</v>
      </c>
    </row>
    <row r="26" customFormat="false" ht="15" hidden="false" customHeight="false" outlineLevel="0" collapsed="false">
      <c r="A26" s="27" t="s">
        <v>2031</v>
      </c>
      <c r="B26" s="63" t="s">
        <v>2014</v>
      </c>
      <c r="C26" s="66" t="n">
        <f aca="false">P26</f>
        <v>0</v>
      </c>
      <c r="E26" s="115" t="n">
        <v>55</v>
      </c>
      <c r="F26" s="115" t="n">
        <v>55</v>
      </c>
      <c r="G26" s="115" t="n">
        <v>55</v>
      </c>
      <c r="H26" s="115" t="n">
        <v>55</v>
      </c>
      <c r="I26" s="115" t="n">
        <v>55</v>
      </c>
      <c r="J26" s="115" t="n">
        <v>56</v>
      </c>
      <c r="K26" s="115" t="n">
        <v>56</v>
      </c>
      <c r="L26" s="115" t="n">
        <v>56</v>
      </c>
    </row>
    <row r="27" customFormat="false" ht="15" hidden="false" customHeight="false" outlineLevel="0" collapsed="false">
      <c r="A27" s="27" t="s">
        <v>2032</v>
      </c>
      <c r="B27" s="63" t="s">
        <v>2014</v>
      </c>
      <c r="C27" s="66" t="n">
        <f aca="false">P27</f>
        <v>0</v>
      </c>
      <c r="E27" s="115" t="n">
        <v>145</v>
      </c>
      <c r="F27" s="115" t="n">
        <v>145</v>
      </c>
      <c r="G27" s="115" t="n">
        <v>145</v>
      </c>
      <c r="H27" s="115" t="n">
        <v>145</v>
      </c>
      <c r="I27" s="115" t="n">
        <v>146</v>
      </c>
      <c r="J27" s="115" t="n">
        <v>146</v>
      </c>
      <c r="K27" s="115" t="n">
        <v>147</v>
      </c>
      <c r="L27" s="115" t="n">
        <v>147</v>
      </c>
    </row>
    <row r="28" customFormat="false" ht="15" hidden="false" customHeight="false" outlineLevel="0" collapsed="false">
      <c r="A28" s="27" t="s">
        <v>2033</v>
      </c>
      <c r="B28" s="63" t="s">
        <v>2014</v>
      </c>
      <c r="C28" s="66" t="n">
        <f aca="false">P28</f>
        <v>0</v>
      </c>
      <c r="E28" s="115" t="n">
        <v>125</v>
      </c>
      <c r="F28" s="115" t="n">
        <v>126</v>
      </c>
      <c r="G28" s="115" t="n">
        <v>126</v>
      </c>
      <c r="H28" s="115" t="n">
        <v>127</v>
      </c>
      <c r="I28" s="115" t="n">
        <v>127</v>
      </c>
      <c r="J28" s="115" t="n">
        <v>127</v>
      </c>
      <c r="K28" s="115" t="n">
        <v>128</v>
      </c>
      <c r="L28" s="115" t="n">
        <v>128</v>
      </c>
    </row>
    <row r="29" customFormat="false" ht="15" hidden="false" customHeight="false" outlineLevel="0" collapsed="false">
      <c r="A29" s="27" t="s">
        <v>2034</v>
      </c>
      <c r="B29" s="63" t="s">
        <v>2014</v>
      </c>
      <c r="C29" s="66" t="n">
        <f aca="false">P29</f>
        <v>0</v>
      </c>
      <c r="E29" s="115" t="n">
        <v>65</v>
      </c>
      <c r="F29" s="115" t="n">
        <v>65</v>
      </c>
      <c r="G29" s="115" t="n">
        <v>65</v>
      </c>
      <c r="H29" s="115" t="n">
        <v>65</v>
      </c>
      <c r="I29" s="115" t="n">
        <v>65</v>
      </c>
      <c r="J29" s="115" t="n">
        <v>65</v>
      </c>
      <c r="K29" s="115" t="n">
        <v>65</v>
      </c>
      <c r="L29" s="115" t="n">
        <v>65</v>
      </c>
    </row>
    <row r="30" customFormat="false" ht="15" hidden="false" customHeight="false" outlineLevel="0" collapsed="false">
      <c r="A30" s="27" t="s">
        <v>2035</v>
      </c>
      <c r="B30" s="63" t="s">
        <v>2014</v>
      </c>
      <c r="C30" s="66" t="n">
        <f aca="false">P30</f>
        <v>0</v>
      </c>
      <c r="E30" s="115" t="n">
        <v>95</v>
      </c>
      <c r="F30" s="115" t="n">
        <v>96</v>
      </c>
      <c r="G30" s="115" t="n">
        <v>96</v>
      </c>
      <c r="H30" s="115" t="n">
        <v>96</v>
      </c>
      <c r="I30" s="115" t="n">
        <v>96</v>
      </c>
      <c r="J30" s="115" t="n">
        <v>96</v>
      </c>
      <c r="K30" s="115" t="n">
        <v>97</v>
      </c>
      <c r="L30" s="115" t="n">
        <v>97</v>
      </c>
    </row>
    <row r="31" customFormat="false" ht="15" hidden="false" customHeight="false" outlineLevel="0" collapsed="false">
      <c r="A31" s="27" t="s">
        <v>2036</v>
      </c>
      <c r="B31" s="63" t="s">
        <v>2014</v>
      </c>
      <c r="C31" s="66" t="n">
        <f aca="false">P31</f>
        <v>0</v>
      </c>
      <c r="E31" s="115" t="n">
        <v>40</v>
      </c>
      <c r="F31" s="115" t="n">
        <v>40</v>
      </c>
      <c r="G31" s="115" t="n">
        <v>40</v>
      </c>
      <c r="H31" s="115" t="n">
        <v>41</v>
      </c>
      <c r="I31" s="115" t="n">
        <v>41</v>
      </c>
      <c r="J31" s="115" t="n">
        <v>41</v>
      </c>
      <c r="K31" s="115" t="n">
        <v>41</v>
      </c>
      <c r="L31" s="115" t="n">
        <v>41</v>
      </c>
    </row>
    <row r="32" customFormat="false" ht="15" hidden="false" customHeight="false" outlineLevel="0" collapsed="false">
      <c r="A32" s="27" t="s">
        <v>2037</v>
      </c>
      <c r="B32" s="63" t="s">
        <v>2014</v>
      </c>
      <c r="C32" s="66" t="n">
        <f aca="false">P32</f>
        <v>0</v>
      </c>
      <c r="E32" s="115" t="n">
        <v>151</v>
      </c>
      <c r="F32" s="115" t="n">
        <v>151</v>
      </c>
      <c r="G32" s="115" t="n">
        <v>150</v>
      </c>
      <c r="H32" s="115" t="n">
        <v>150</v>
      </c>
      <c r="I32" s="115" t="n">
        <v>0</v>
      </c>
      <c r="J32" s="115" t="n">
        <v>0</v>
      </c>
      <c r="K32" s="115" t="n">
        <v>0</v>
      </c>
      <c r="L32" s="115" t="n">
        <v>0</v>
      </c>
    </row>
    <row r="33" customFormat="false" ht="15" hidden="false" customHeight="false" outlineLevel="0" collapsed="false">
      <c r="A33" s="27" t="s">
        <v>2038</v>
      </c>
      <c r="B33" s="63" t="s">
        <v>2014</v>
      </c>
      <c r="C33" s="66" t="n">
        <f aca="false">P33</f>
        <v>0</v>
      </c>
      <c r="E33" s="115" t="n">
        <v>140</v>
      </c>
      <c r="F33" s="115" t="n">
        <v>141</v>
      </c>
      <c r="G33" s="115" t="n">
        <v>142</v>
      </c>
      <c r="H33" s="115" t="n">
        <v>142</v>
      </c>
      <c r="I33" s="115" t="n">
        <v>141</v>
      </c>
      <c r="J33" s="115" t="n">
        <v>141</v>
      </c>
      <c r="K33" s="115" t="n">
        <v>142</v>
      </c>
      <c r="L33" s="115" t="n">
        <v>143</v>
      </c>
    </row>
    <row r="34" customFormat="false" ht="15" hidden="false" customHeight="false" outlineLevel="0" collapsed="false">
      <c r="A34" s="27" t="s">
        <v>2039</v>
      </c>
      <c r="B34" s="63" t="s">
        <v>2014</v>
      </c>
      <c r="C34" s="66" t="n">
        <f aca="false">P34</f>
        <v>0</v>
      </c>
      <c r="E34" s="115" t="n">
        <v>90</v>
      </c>
      <c r="F34" s="115" t="n">
        <v>90</v>
      </c>
      <c r="G34" s="115" t="n">
        <v>90</v>
      </c>
      <c r="H34" s="115" t="n">
        <v>91</v>
      </c>
      <c r="I34" s="115" t="n">
        <v>91</v>
      </c>
      <c r="J34" s="115" t="n">
        <v>91</v>
      </c>
      <c r="K34" s="115" t="n">
        <v>91</v>
      </c>
      <c r="L34" s="115" t="n">
        <v>92</v>
      </c>
    </row>
    <row r="35" customFormat="false" ht="15" hidden="false" customHeight="false" outlineLevel="0" collapsed="false">
      <c r="A35" s="27" t="s">
        <v>2040</v>
      </c>
      <c r="B35" s="63" t="s">
        <v>2014</v>
      </c>
      <c r="C35" s="66" t="n">
        <f aca="false">P35</f>
        <v>0</v>
      </c>
      <c r="E35" s="115" t="n">
        <v>70</v>
      </c>
      <c r="F35" s="115" t="n">
        <v>70</v>
      </c>
      <c r="G35" s="115" t="n">
        <v>71</v>
      </c>
      <c r="H35" s="115" t="n">
        <v>71</v>
      </c>
      <c r="I35" s="115" t="n">
        <v>72</v>
      </c>
      <c r="J35" s="115" t="n">
        <v>72</v>
      </c>
      <c r="K35" s="115" t="n">
        <v>72</v>
      </c>
      <c r="L35" s="115" t="n">
        <v>73</v>
      </c>
    </row>
    <row r="36" customFormat="false" ht="15" hidden="false" customHeight="false" outlineLevel="0" collapsed="false">
      <c r="A36" s="27" t="s">
        <v>2041</v>
      </c>
      <c r="B36" s="63" t="s">
        <v>2014</v>
      </c>
      <c r="C36" s="66" t="n">
        <f aca="false">P36</f>
        <v>0</v>
      </c>
      <c r="E36" s="115" t="n">
        <v>80</v>
      </c>
      <c r="F36" s="115" t="n">
        <v>80</v>
      </c>
      <c r="G36" s="115" t="n">
        <v>81</v>
      </c>
      <c r="H36" s="115" t="n">
        <v>81</v>
      </c>
      <c r="I36" s="115" t="n">
        <v>81</v>
      </c>
      <c r="J36" s="115" t="n">
        <v>81</v>
      </c>
      <c r="K36" s="115" t="n">
        <v>81</v>
      </c>
      <c r="L36" s="115" t="n">
        <v>80</v>
      </c>
    </row>
    <row r="37" customFormat="false" ht="15" hidden="false" customHeight="false" outlineLevel="0" collapsed="false">
      <c r="A37" s="27" t="s">
        <v>2042</v>
      </c>
      <c r="B37" s="63" t="s">
        <v>2014</v>
      </c>
      <c r="C37" s="66" t="n">
        <f aca="false">P37</f>
        <v>0</v>
      </c>
      <c r="E37" s="115" t="n">
        <v>95</v>
      </c>
      <c r="F37" s="115" t="n">
        <v>95</v>
      </c>
      <c r="G37" s="115" t="n">
        <v>95</v>
      </c>
      <c r="H37" s="115" t="n">
        <v>95</v>
      </c>
      <c r="I37" s="115" t="n">
        <v>95</v>
      </c>
      <c r="J37" s="115" t="n">
        <v>95</v>
      </c>
      <c r="K37" s="115" t="n">
        <v>94</v>
      </c>
      <c r="L37" s="115" t="n">
        <v>95</v>
      </c>
    </row>
    <row r="38" customFormat="false" ht="15" hidden="false" customHeight="false" outlineLevel="0" collapsed="false">
      <c r="A38" s="27" t="s">
        <v>2043</v>
      </c>
      <c r="B38" s="63" t="s">
        <v>2014</v>
      </c>
      <c r="C38" s="66" t="n">
        <f aca="false">P38</f>
        <v>0</v>
      </c>
      <c r="E38" s="115" t="n">
        <v>55</v>
      </c>
      <c r="F38" s="115" t="n">
        <v>55</v>
      </c>
      <c r="G38" s="115" t="n">
        <v>56</v>
      </c>
      <c r="H38" s="115" t="n">
        <v>56</v>
      </c>
      <c r="I38" s="115" t="n">
        <v>56</v>
      </c>
      <c r="J38" s="115" t="n">
        <v>56</v>
      </c>
      <c r="K38" s="115" t="n">
        <v>56</v>
      </c>
      <c r="L38" s="115" t="n">
        <v>56</v>
      </c>
    </row>
    <row r="39" customFormat="false" ht="15" hidden="false" customHeight="false" outlineLevel="0" collapsed="false">
      <c r="A39" s="27" t="s">
        <v>2044</v>
      </c>
      <c r="B39" s="63" t="s">
        <v>2014</v>
      </c>
      <c r="C39" s="66" t="n">
        <f aca="false">P39</f>
        <v>0</v>
      </c>
      <c r="E39" s="115" t="n">
        <v>0</v>
      </c>
      <c r="F39" s="115" t="n">
        <v>0</v>
      </c>
      <c r="G39" s="115" t="n">
        <v>80</v>
      </c>
      <c r="H39" s="115" t="n">
        <v>80</v>
      </c>
      <c r="I39" s="115" t="n">
        <v>81</v>
      </c>
      <c r="J39" s="115" t="n">
        <v>81</v>
      </c>
      <c r="K39" s="115" t="n">
        <v>81</v>
      </c>
      <c r="L39" s="115" t="n">
        <v>81</v>
      </c>
    </row>
    <row r="40" customFormat="false" ht="15" hidden="false" customHeight="false" outlineLevel="0" collapsed="false">
      <c r="A40" s="27" t="s">
        <v>2045</v>
      </c>
      <c r="B40" s="63" t="s">
        <v>2014</v>
      </c>
      <c r="C40" s="66" t="n">
        <f aca="false">P40</f>
        <v>0</v>
      </c>
      <c r="E40" s="115" t="n">
        <v>0</v>
      </c>
      <c r="F40" s="115" t="n">
        <v>0</v>
      </c>
      <c r="G40" s="115" t="n">
        <v>0</v>
      </c>
      <c r="H40" s="115" t="n">
        <v>0</v>
      </c>
      <c r="I40" s="115" t="n">
        <v>66</v>
      </c>
      <c r="J40" s="115" t="n">
        <v>66</v>
      </c>
      <c r="K40" s="115" t="n">
        <v>67</v>
      </c>
      <c r="L40" s="115" t="n">
        <v>67</v>
      </c>
    </row>
    <row r="41" customFormat="false" ht="15" hidden="false" customHeight="false" outlineLevel="0" collapsed="false">
      <c r="A41" s="27" t="s">
        <v>2046</v>
      </c>
      <c r="B41" s="63" t="s">
        <v>2014</v>
      </c>
      <c r="C41" s="66" t="n">
        <f aca="false">P41</f>
        <v>0</v>
      </c>
      <c r="E41" s="115" t="n">
        <v>0</v>
      </c>
      <c r="F41" s="115" t="n">
        <v>0</v>
      </c>
      <c r="G41" s="115" t="n">
        <v>0</v>
      </c>
      <c r="H41" s="115" t="n">
        <v>0</v>
      </c>
      <c r="I41" s="115" t="n">
        <v>0</v>
      </c>
      <c r="J41" s="115" t="n">
        <v>0</v>
      </c>
      <c r="K41" s="115" t="n">
        <v>108</v>
      </c>
      <c r="L41" s="115" t="n">
        <v>109</v>
      </c>
    </row>
    <row r="42" customFormat="false" ht="15" hidden="false" customHeight="false" outlineLevel="0" collapsed="false">
      <c r="A42" s="27" t="s">
        <v>2047</v>
      </c>
      <c r="B42" s="63" t="s">
        <v>2014</v>
      </c>
      <c r="C42" s="66" t="n">
        <f aca="false">P42</f>
        <v>0</v>
      </c>
      <c r="E42" s="115" t="n">
        <v>95</v>
      </c>
      <c r="F42" s="115" t="n">
        <v>95</v>
      </c>
      <c r="G42" s="115" t="n">
        <v>95</v>
      </c>
      <c r="H42" s="115" t="n">
        <v>96</v>
      </c>
      <c r="I42" s="115" t="n">
        <v>96</v>
      </c>
      <c r="J42" s="115" t="n">
        <v>96</v>
      </c>
      <c r="K42" s="115" t="n">
        <v>96</v>
      </c>
      <c r="L42" s="115" t="n">
        <v>96</v>
      </c>
    </row>
    <row r="43" customFormat="false" ht="15" hidden="false" customHeight="false" outlineLevel="0" collapsed="false">
      <c r="A43" s="27" t="s">
        <v>2048</v>
      </c>
      <c r="B43" s="63" t="s">
        <v>2014</v>
      </c>
      <c r="C43" s="66" t="n">
        <f aca="false">P43</f>
        <v>0</v>
      </c>
      <c r="E43" s="115" t="n">
        <v>70</v>
      </c>
      <c r="F43" s="115" t="n">
        <v>70</v>
      </c>
      <c r="G43" s="115" t="n">
        <v>70</v>
      </c>
      <c r="H43" s="115" t="n">
        <v>70</v>
      </c>
      <c r="I43" s="115" t="n">
        <v>70</v>
      </c>
      <c r="J43" s="115" t="n">
        <v>70</v>
      </c>
      <c r="K43" s="115" t="n">
        <v>70</v>
      </c>
      <c r="L43" s="115" t="n">
        <v>70</v>
      </c>
    </row>
    <row r="44" customFormat="false" ht="15" hidden="false" customHeight="false" outlineLevel="0" collapsed="false">
      <c r="A44" s="27" t="s">
        <v>2049</v>
      </c>
      <c r="B44" s="63" t="s">
        <v>2014</v>
      </c>
      <c r="C44" s="66" t="n">
        <f aca="false">P44</f>
        <v>0</v>
      </c>
      <c r="E44" s="115" t="n">
        <v>38</v>
      </c>
      <c r="F44" s="115" t="n">
        <v>38</v>
      </c>
      <c r="G44" s="115" t="n">
        <v>38</v>
      </c>
      <c r="H44" s="115" t="n">
        <v>38</v>
      </c>
      <c r="I44" s="115" t="n">
        <v>38</v>
      </c>
      <c r="J44" s="115" t="n">
        <v>38</v>
      </c>
      <c r="K44" s="115" t="n">
        <v>38</v>
      </c>
      <c r="L44" s="115" t="n">
        <v>38</v>
      </c>
    </row>
    <row r="45" customFormat="false" ht="15" hidden="false" customHeight="false" outlineLevel="0" collapsed="false">
      <c r="A45" s="27" t="s">
        <v>2050</v>
      </c>
      <c r="B45" s="63" t="s">
        <v>2014</v>
      </c>
      <c r="C45" s="66" t="n">
        <f aca="false">P45</f>
        <v>0</v>
      </c>
      <c r="E45" s="115" t="n">
        <v>22</v>
      </c>
      <c r="F45" s="115" t="n">
        <v>22</v>
      </c>
      <c r="G45" s="115" t="n">
        <v>22</v>
      </c>
      <c r="H45" s="115" t="n">
        <v>22</v>
      </c>
      <c r="I45" s="115" t="n">
        <v>22</v>
      </c>
      <c r="J45" s="115" t="n">
        <v>22</v>
      </c>
      <c r="K45" s="115" t="n">
        <v>22</v>
      </c>
      <c r="L45" s="115" t="n">
        <v>22</v>
      </c>
    </row>
    <row r="46" customFormat="false" ht="15" hidden="false" customHeight="false" outlineLevel="0" collapsed="false">
      <c r="A46" s="27" t="s">
        <v>2051</v>
      </c>
      <c r="B46" s="63" t="s">
        <v>2014</v>
      </c>
      <c r="C46" s="66" t="n">
        <f aca="false">P46</f>
        <v>0</v>
      </c>
      <c r="E46" s="115" t="n">
        <v>85</v>
      </c>
      <c r="F46" s="115" t="n">
        <v>85</v>
      </c>
      <c r="G46" s="115" t="n">
        <v>85</v>
      </c>
      <c r="H46" s="115" t="n">
        <v>85</v>
      </c>
      <c r="I46" s="115" t="n">
        <v>86</v>
      </c>
      <c r="J46" s="115" t="n">
        <v>86</v>
      </c>
      <c r="K46" s="115" t="n">
        <v>86</v>
      </c>
      <c r="L46" s="115" t="n">
        <v>87</v>
      </c>
    </row>
    <row r="47" customFormat="false" ht="15" hidden="false" customHeight="false" outlineLevel="0" collapsed="false">
      <c r="A47" s="27" t="s">
        <v>2052</v>
      </c>
      <c r="B47" s="63" t="s">
        <v>2014</v>
      </c>
      <c r="C47" s="66" t="n">
        <f aca="false">P47</f>
        <v>0</v>
      </c>
      <c r="E47" s="115" t="n">
        <v>40</v>
      </c>
      <c r="F47" s="115" t="n">
        <v>40</v>
      </c>
      <c r="G47" s="115" t="n">
        <v>40</v>
      </c>
      <c r="H47" s="115" t="n">
        <v>40</v>
      </c>
      <c r="I47" s="115" t="n">
        <v>40</v>
      </c>
      <c r="J47" s="115" t="n">
        <v>40</v>
      </c>
      <c r="K47" s="115" t="n">
        <v>40</v>
      </c>
      <c r="L47" s="115" t="n">
        <v>40</v>
      </c>
    </row>
    <row r="48" customFormat="false" ht="15" hidden="false" customHeight="false" outlineLevel="0" collapsed="false">
      <c r="A48" s="27" t="s">
        <v>2053</v>
      </c>
      <c r="B48" s="63" t="s">
        <v>2014</v>
      </c>
      <c r="C48" s="66" t="n">
        <f aca="false">P48</f>
        <v>0</v>
      </c>
      <c r="E48" s="115" t="n">
        <v>30</v>
      </c>
      <c r="F48" s="115" t="n">
        <v>30</v>
      </c>
      <c r="G48" s="115" t="n">
        <v>30</v>
      </c>
      <c r="H48" s="115" t="n">
        <v>30</v>
      </c>
      <c r="I48" s="115" t="n">
        <v>31</v>
      </c>
      <c r="J48" s="115" t="n">
        <v>31</v>
      </c>
      <c r="K48" s="115" t="n">
        <v>31</v>
      </c>
      <c r="L48" s="115" t="n">
        <v>31</v>
      </c>
    </row>
    <row r="49" customFormat="false" ht="15" hidden="false" customHeight="false" outlineLevel="0" collapsed="false">
      <c r="A49" s="27" t="s">
        <v>2054</v>
      </c>
      <c r="B49" s="63" t="s">
        <v>2014</v>
      </c>
      <c r="C49" s="66" t="n">
        <f aca="false">P49</f>
        <v>0</v>
      </c>
      <c r="E49" s="115" t="n">
        <v>90</v>
      </c>
      <c r="F49" s="115" t="n">
        <v>90</v>
      </c>
      <c r="G49" s="115" t="n">
        <v>91</v>
      </c>
      <c r="H49" s="115" t="n">
        <v>91</v>
      </c>
      <c r="I49" s="115" t="n">
        <v>91</v>
      </c>
      <c r="J49" s="115" t="n">
        <v>91</v>
      </c>
      <c r="K49" s="115" t="n">
        <v>91</v>
      </c>
      <c r="L49" s="115" t="n">
        <v>91</v>
      </c>
    </row>
    <row r="50" customFormat="false" ht="15" hidden="false" customHeight="false" outlineLevel="0" collapsed="false">
      <c r="A50" s="27" t="s">
        <v>2055</v>
      </c>
      <c r="B50" s="63" t="s">
        <v>2014</v>
      </c>
      <c r="C50" s="66" t="n">
        <f aca="false">P50</f>
        <v>0</v>
      </c>
      <c r="E50" s="115" t="n">
        <v>45</v>
      </c>
      <c r="F50" s="115" t="n">
        <v>45</v>
      </c>
      <c r="G50" s="115" t="n">
        <v>45</v>
      </c>
      <c r="H50" s="115" t="n">
        <v>45</v>
      </c>
      <c r="I50" s="115" t="n">
        <v>45</v>
      </c>
      <c r="J50" s="115" t="n">
        <v>45</v>
      </c>
      <c r="K50" s="115" t="n">
        <v>45</v>
      </c>
      <c r="L50" s="115" t="n">
        <v>45</v>
      </c>
    </row>
    <row r="51" customFormat="false" ht="15" hidden="false" customHeight="false" outlineLevel="0" collapsed="false">
      <c r="A51" s="27" t="s">
        <v>2056</v>
      </c>
      <c r="B51" s="63" t="s">
        <v>2014</v>
      </c>
      <c r="C51" s="66" t="n">
        <f aca="false">P51</f>
        <v>0</v>
      </c>
      <c r="E51" s="115" t="n">
        <v>12</v>
      </c>
      <c r="F51" s="115" t="n">
        <v>12</v>
      </c>
      <c r="G51" s="115" t="n">
        <v>12</v>
      </c>
      <c r="H51" s="115" t="n">
        <v>12</v>
      </c>
      <c r="I51" s="115" t="n">
        <v>12</v>
      </c>
      <c r="J51" s="115" t="n">
        <v>12</v>
      </c>
      <c r="K51" s="115" t="n">
        <v>12</v>
      </c>
      <c r="L51" s="115" t="n">
        <v>12</v>
      </c>
    </row>
    <row r="52" customFormat="false" ht="15" hidden="false" customHeight="false" outlineLevel="0" collapsed="false">
      <c r="A52" s="27" t="s">
        <v>2057</v>
      </c>
      <c r="B52" s="63" t="s">
        <v>2014</v>
      </c>
      <c r="C52" s="66" t="n">
        <f aca="false">P52</f>
        <v>0</v>
      </c>
      <c r="E52" s="115" t="n">
        <v>60</v>
      </c>
      <c r="F52" s="115" t="n">
        <v>60</v>
      </c>
      <c r="G52" s="115" t="n">
        <v>60</v>
      </c>
      <c r="H52" s="115" t="n">
        <v>60</v>
      </c>
      <c r="I52" s="115" t="n">
        <v>60</v>
      </c>
      <c r="J52" s="115" t="n">
        <v>60</v>
      </c>
      <c r="K52" s="115" t="n">
        <v>60</v>
      </c>
      <c r="L52" s="115" t="n">
        <v>60</v>
      </c>
    </row>
    <row r="53" customFormat="false" ht="15" hidden="false" customHeight="false" outlineLevel="0" collapsed="false">
      <c r="A53" s="27" t="s">
        <v>2058</v>
      </c>
      <c r="B53" s="63" t="s">
        <v>2014</v>
      </c>
      <c r="C53" s="66" t="n">
        <f aca="false">P53</f>
        <v>0</v>
      </c>
      <c r="E53" s="115" t="n">
        <v>36</v>
      </c>
      <c r="F53" s="115" t="n">
        <v>36</v>
      </c>
      <c r="G53" s="115" t="n">
        <v>36</v>
      </c>
      <c r="H53" s="115" t="n">
        <v>36</v>
      </c>
      <c r="I53" s="115" t="n">
        <v>36</v>
      </c>
      <c r="J53" s="115" t="n">
        <v>36</v>
      </c>
      <c r="K53" s="115" t="n">
        <v>36</v>
      </c>
      <c r="L53" s="115" t="n">
        <v>36</v>
      </c>
    </row>
    <row r="54" customFormat="false" ht="15" hidden="false" customHeight="false" outlineLevel="0" collapsed="false">
      <c r="A54" s="27" t="s">
        <v>2059</v>
      </c>
      <c r="B54" s="63" t="s">
        <v>2014</v>
      </c>
      <c r="C54" s="66" t="n">
        <f aca="false">P54</f>
        <v>0</v>
      </c>
      <c r="E54" s="115" t="n">
        <v>15</v>
      </c>
      <c r="F54" s="115" t="n">
        <v>15</v>
      </c>
      <c r="G54" s="115" t="n">
        <v>15</v>
      </c>
      <c r="H54" s="115" t="n">
        <v>15</v>
      </c>
      <c r="I54" s="115" t="n">
        <v>15</v>
      </c>
      <c r="J54" s="115" t="n">
        <v>15</v>
      </c>
      <c r="K54" s="115" t="n">
        <v>15</v>
      </c>
      <c r="L54" s="115" t="n">
        <v>15</v>
      </c>
    </row>
    <row r="55" customFormat="false" ht="15" hidden="false" customHeight="false" outlineLevel="0" collapsed="false">
      <c r="A55" s="27" t="s">
        <v>2060</v>
      </c>
      <c r="B55" s="63" t="s">
        <v>2014</v>
      </c>
      <c r="C55" s="66" t="n">
        <f aca="false">P55</f>
        <v>0</v>
      </c>
      <c r="E55" s="115" t="n">
        <v>28</v>
      </c>
      <c r="F55" s="115" t="n">
        <v>28</v>
      </c>
      <c r="G55" s="115" t="n">
        <v>28</v>
      </c>
      <c r="H55" s="115" t="n">
        <v>28</v>
      </c>
      <c r="I55" s="115" t="n">
        <v>28</v>
      </c>
      <c r="J55" s="115" t="n">
        <v>28</v>
      </c>
      <c r="K55" s="115" t="n">
        <v>28</v>
      </c>
      <c r="L55" s="115" t="n">
        <v>28</v>
      </c>
    </row>
    <row r="56" customFormat="false" ht="15" hidden="false" customHeight="false" outlineLevel="0" collapsed="false">
      <c r="A56" s="27" t="s">
        <v>2061</v>
      </c>
      <c r="B56" s="63" t="s">
        <v>2014</v>
      </c>
      <c r="C56" s="66" t="n">
        <f aca="false">P56</f>
        <v>0</v>
      </c>
      <c r="E56" s="115" t="n">
        <v>20</v>
      </c>
      <c r="F56" s="115" t="n">
        <v>20</v>
      </c>
      <c r="G56" s="115" t="n">
        <v>20</v>
      </c>
      <c r="H56" s="115" t="n">
        <v>20</v>
      </c>
      <c r="I56" s="115" t="n">
        <v>20</v>
      </c>
      <c r="J56" s="115" t="n">
        <v>20</v>
      </c>
      <c r="K56" s="115" t="n">
        <v>20</v>
      </c>
      <c r="L56" s="115" t="n">
        <v>20</v>
      </c>
    </row>
    <row r="57" customFormat="false" ht="15" hidden="false" customHeight="false" outlineLevel="0" collapsed="false">
      <c r="A57" s="27" t="s">
        <v>2062</v>
      </c>
      <c r="B57" s="63" t="s">
        <v>2014</v>
      </c>
      <c r="C57" s="66" t="n">
        <f aca="false">P57</f>
        <v>0</v>
      </c>
      <c r="E57" s="115" t="n">
        <v>52</v>
      </c>
      <c r="F57" s="115" t="n">
        <v>52</v>
      </c>
      <c r="G57" s="115" t="n">
        <v>52</v>
      </c>
      <c r="H57" s="115" t="n">
        <v>52</v>
      </c>
      <c r="I57" s="115" t="n">
        <v>52</v>
      </c>
      <c r="J57" s="115" t="n">
        <v>53</v>
      </c>
      <c r="K57" s="115" t="n">
        <v>52</v>
      </c>
      <c r="L57" s="115" t="n">
        <v>52</v>
      </c>
    </row>
    <row r="58" customFormat="false" ht="15" hidden="false" customHeight="false" outlineLevel="0" collapsed="false">
      <c r="A58" s="27" t="s">
        <v>2063</v>
      </c>
      <c r="B58" s="63" t="s">
        <v>2014</v>
      </c>
      <c r="C58" s="66" t="n">
        <f aca="false">P58</f>
        <v>0</v>
      </c>
      <c r="E58" s="115" t="n">
        <v>42</v>
      </c>
      <c r="F58" s="115" t="n">
        <v>42</v>
      </c>
      <c r="G58" s="115" t="n">
        <v>42</v>
      </c>
      <c r="H58" s="115" t="n">
        <v>43</v>
      </c>
      <c r="I58" s="115" t="n">
        <v>43</v>
      </c>
      <c r="J58" s="115" t="n">
        <v>43</v>
      </c>
      <c r="K58" s="115" t="n">
        <v>43</v>
      </c>
      <c r="L58" s="115" t="n">
        <v>43</v>
      </c>
    </row>
    <row r="59" customFormat="false" ht="15" hidden="false" customHeight="false" outlineLevel="0" collapsed="false">
      <c r="A59" s="27" t="s">
        <v>2064</v>
      </c>
      <c r="B59" s="63" t="s">
        <v>2014</v>
      </c>
      <c r="C59" s="66" t="n">
        <f aca="false">P59</f>
        <v>0</v>
      </c>
      <c r="E59" s="115" t="n">
        <v>10</v>
      </c>
      <c r="F59" s="115" t="n">
        <v>10</v>
      </c>
      <c r="G59" s="115" t="n">
        <v>10</v>
      </c>
      <c r="H59" s="115" t="n">
        <v>10</v>
      </c>
      <c r="I59" s="115" t="n">
        <v>10</v>
      </c>
      <c r="J59" s="115" t="n">
        <v>10</v>
      </c>
      <c r="K59" s="115" t="n">
        <v>10</v>
      </c>
      <c r="L59" s="115" t="n">
        <v>10</v>
      </c>
    </row>
    <row r="60" customFormat="false" ht="15" hidden="false" customHeight="false" outlineLevel="0" collapsed="false">
      <c r="A60" s="27" t="s">
        <v>2065</v>
      </c>
      <c r="B60" s="63" t="s">
        <v>2014</v>
      </c>
      <c r="C60" s="66" t="n">
        <f aca="false">P60</f>
        <v>0</v>
      </c>
      <c r="E60" s="115" t="n">
        <v>38</v>
      </c>
      <c r="F60" s="115" t="n">
        <v>38</v>
      </c>
      <c r="G60" s="115" t="n">
        <v>38</v>
      </c>
      <c r="H60" s="115" t="n">
        <v>38</v>
      </c>
      <c r="I60" s="115" t="n">
        <v>38</v>
      </c>
      <c r="J60" s="115" t="n">
        <v>38</v>
      </c>
      <c r="K60" s="115" t="n">
        <v>38</v>
      </c>
      <c r="L60" s="115" t="n">
        <v>38</v>
      </c>
    </row>
    <row r="61" customFormat="false" ht="15" hidden="false" customHeight="false" outlineLevel="0" collapsed="false">
      <c r="A61" s="27" t="s">
        <v>2066</v>
      </c>
      <c r="B61" s="63" t="s">
        <v>2014</v>
      </c>
      <c r="C61" s="66" t="n">
        <f aca="false">P61</f>
        <v>0</v>
      </c>
      <c r="E61" s="115" t="n">
        <v>40</v>
      </c>
      <c r="F61" s="115" t="n">
        <v>40</v>
      </c>
      <c r="G61" s="115" t="n">
        <v>40</v>
      </c>
      <c r="H61" s="115" t="n">
        <v>40</v>
      </c>
      <c r="I61" s="115" t="n">
        <v>40</v>
      </c>
      <c r="J61" s="115" t="n">
        <v>40</v>
      </c>
      <c r="K61" s="115" t="n">
        <v>40</v>
      </c>
      <c r="L61" s="115" t="n">
        <v>40</v>
      </c>
    </row>
    <row r="62" customFormat="false" ht="15" hidden="false" customHeight="false" outlineLevel="0" collapsed="false">
      <c r="A62" s="27" t="s">
        <v>2067</v>
      </c>
      <c r="B62" s="63" t="s">
        <v>2014</v>
      </c>
      <c r="C62" s="66" t="n">
        <f aca="false">P62</f>
        <v>0</v>
      </c>
      <c r="E62" s="115" t="n">
        <v>24</v>
      </c>
      <c r="F62" s="115" t="n">
        <v>24</v>
      </c>
      <c r="G62" s="115" t="n">
        <v>24</v>
      </c>
      <c r="H62" s="115" t="n">
        <v>24</v>
      </c>
      <c r="I62" s="115" t="n">
        <v>24</v>
      </c>
      <c r="J62" s="115" t="n">
        <v>24</v>
      </c>
      <c r="K62" s="115" t="n">
        <v>24</v>
      </c>
      <c r="L62" s="115" t="n">
        <v>24</v>
      </c>
    </row>
    <row r="63" customFormat="false" ht="15" hidden="false" customHeight="false" outlineLevel="0" collapsed="false">
      <c r="A63" s="27" t="s">
        <v>2068</v>
      </c>
      <c r="B63" s="63" t="s">
        <v>2014</v>
      </c>
      <c r="C63" s="66" t="n">
        <f aca="false">P63</f>
        <v>0</v>
      </c>
      <c r="E63" s="115" t="n">
        <v>50</v>
      </c>
      <c r="F63" s="115" t="n">
        <v>50</v>
      </c>
      <c r="G63" s="115" t="n">
        <v>50</v>
      </c>
      <c r="H63" s="115" t="n">
        <v>50</v>
      </c>
      <c r="I63" s="115" t="n">
        <v>51</v>
      </c>
      <c r="J63" s="115" t="n">
        <v>51</v>
      </c>
      <c r="K63" s="115" t="n">
        <v>51</v>
      </c>
      <c r="L63" s="115" t="n">
        <v>51</v>
      </c>
    </row>
    <row r="64" customFormat="false" ht="15" hidden="false" customHeight="false" outlineLevel="0" collapsed="false">
      <c r="A64" s="27" t="s">
        <v>2069</v>
      </c>
      <c r="B64" s="63" t="s">
        <v>2014</v>
      </c>
      <c r="C64" s="66" t="n">
        <f aca="false">P64</f>
        <v>0</v>
      </c>
      <c r="E64" s="115" t="n">
        <v>9</v>
      </c>
      <c r="F64" s="115" t="n">
        <v>9</v>
      </c>
      <c r="G64" s="115" t="n">
        <v>9</v>
      </c>
      <c r="H64" s="115" t="n">
        <v>9</v>
      </c>
      <c r="I64" s="115" t="n">
        <v>9</v>
      </c>
      <c r="J64" s="115" t="n">
        <v>9</v>
      </c>
      <c r="K64" s="115" t="n">
        <v>9</v>
      </c>
      <c r="L64" s="115" t="n">
        <v>9</v>
      </c>
    </row>
    <row r="65" customFormat="false" ht="15" hidden="false" customHeight="false" outlineLevel="0" collapsed="false">
      <c r="A65" s="27" t="s">
        <v>2070</v>
      </c>
      <c r="B65" s="63" t="s">
        <v>2014</v>
      </c>
      <c r="C65" s="66" t="n">
        <f aca="false">P65</f>
        <v>0</v>
      </c>
      <c r="E65" s="115" t="n">
        <v>40</v>
      </c>
      <c r="F65" s="115" t="n">
        <v>40</v>
      </c>
      <c r="G65" s="115" t="n">
        <v>40</v>
      </c>
      <c r="H65" s="115" t="n">
        <v>40</v>
      </c>
      <c r="I65" s="115" t="n">
        <v>0</v>
      </c>
      <c r="J65" s="115" t="n">
        <v>0</v>
      </c>
      <c r="K65" s="115" t="n">
        <v>0</v>
      </c>
      <c r="L65" s="115" t="n">
        <v>0</v>
      </c>
    </row>
    <row r="66" customFormat="false" ht="15" hidden="false" customHeight="false" outlineLevel="0" collapsed="false">
      <c r="A66" s="27" t="s">
        <v>2071</v>
      </c>
      <c r="B66" s="63" t="s">
        <v>2014</v>
      </c>
      <c r="C66" s="66" t="n">
        <f aca="false">P66</f>
        <v>0</v>
      </c>
      <c r="E66" s="115" t="n">
        <v>45</v>
      </c>
      <c r="F66" s="115" t="n">
        <v>45</v>
      </c>
      <c r="G66" s="115" t="n">
        <v>46</v>
      </c>
      <c r="H66" s="115" t="n">
        <v>46</v>
      </c>
      <c r="I66" s="115" t="n">
        <v>46</v>
      </c>
      <c r="J66" s="115" t="n">
        <v>46</v>
      </c>
      <c r="K66" s="115" t="n">
        <v>47</v>
      </c>
      <c r="L66" s="115" t="n">
        <v>47</v>
      </c>
    </row>
    <row r="67" customFormat="false" ht="15" hidden="false" customHeight="false" outlineLevel="0" collapsed="false">
      <c r="A67" s="27" t="s">
        <v>2072</v>
      </c>
      <c r="B67" s="63" t="s">
        <v>2014</v>
      </c>
      <c r="C67" s="66" t="n">
        <f aca="false">P67</f>
        <v>0</v>
      </c>
      <c r="E67" s="115" t="n">
        <v>34</v>
      </c>
      <c r="F67" s="115" t="n">
        <v>34</v>
      </c>
      <c r="G67" s="115" t="n">
        <v>34</v>
      </c>
      <c r="H67" s="115" t="n">
        <v>34</v>
      </c>
      <c r="I67" s="115" t="n">
        <v>34</v>
      </c>
      <c r="J67" s="115" t="n">
        <v>34</v>
      </c>
      <c r="K67" s="115" t="n">
        <v>34</v>
      </c>
      <c r="L67" s="115" t="n">
        <v>34</v>
      </c>
    </row>
    <row r="68" customFormat="false" ht="15" hidden="false" customHeight="false" outlineLevel="0" collapsed="false">
      <c r="A68" s="27" t="s">
        <v>2073</v>
      </c>
      <c r="B68" s="63" t="s">
        <v>2014</v>
      </c>
      <c r="C68" s="66" t="n">
        <f aca="false">P68</f>
        <v>0</v>
      </c>
      <c r="E68" s="115" t="n">
        <v>18</v>
      </c>
      <c r="F68" s="115" t="n">
        <v>18</v>
      </c>
      <c r="G68" s="115" t="n">
        <v>18</v>
      </c>
      <c r="H68" s="115" t="n">
        <v>18</v>
      </c>
      <c r="I68" s="115" t="n">
        <v>18</v>
      </c>
      <c r="J68" s="115" t="n">
        <v>18</v>
      </c>
      <c r="K68" s="115" t="n">
        <v>18</v>
      </c>
      <c r="L68" s="115" t="n">
        <v>18</v>
      </c>
    </row>
    <row r="69" customFormat="false" ht="15" hidden="false" customHeight="false" outlineLevel="0" collapsed="false">
      <c r="A69" s="27" t="s">
        <v>2074</v>
      </c>
      <c r="B69" s="63" t="s">
        <v>2014</v>
      </c>
      <c r="C69" s="66" t="n">
        <f aca="false">P69</f>
        <v>0</v>
      </c>
      <c r="E69" s="115" t="n">
        <v>30</v>
      </c>
      <c r="F69" s="115" t="n">
        <v>30</v>
      </c>
      <c r="G69" s="115" t="n">
        <v>30</v>
      </c>
      <c r="H69" s="115" t="n">
        <v>30</v>
      </c>
      <c r="I69" s="115" t="n">
        <v>30</v>
      </c>
      <c r="J69" s="115" t="n">
        <v>30</v>
      </c>
      <c r="K69" s="115" t="n">
        <v>30</v>
      </c>
      <c r="L69" s="115" t="n">
        <v>30</v>
      </c>
    </row>
    <row r="70" customFormat="false" ht="15" hidden="false" customHeight="false" outlineLevel="0" collapsed="false">
      <c r="A70" s="27" t="s">
        <v>2075</v>
      </c>
      <c r="B70" s="63" t="s">
        <v>2014</v>
      </c>
      <c r="C70" s="66" t="n">
        <f aca="false">P70</f>
        <v>0</v>
      </c>
      <c r="E70" s="115" t="n">
        <v>36</v>
      </c>
      <c r="F70" s="115" t="n">
        <v>36</v>
      </c>
      <c r="G70" s="115" t="n">
        <v>36</v>
      </c>
      <c r="H70" s="115" t="n">
        <v>36</v>
      </c>
      <c r="I70" s="115" t="n">
        <v>36</v>
      </c>
      <c r="J70" s="115" t="n">
        <v>36</v>
      </c>
      <c r="K70" s="115" t="n">
        <v>36</v>
      </c>
      <c r="L70" s="115" t="n">
        <v>36</v>
      </c>
    </row>
    <row r="71" customFormat="false" ht="15" hidden="false" customHeight="false" outlineLevel="0" collapsed="false">
      <c r="A71" s="27" t="s">
        <v>2076</v>
      </c>
      <c r="B71" s="63" t="s">
        <v>2014</v>
      </c>
      <c r="C71" s="66" t="n">
        <f aca="false">P71</f>
        <v>0</v>
      </c>
      <c r="E71" s="115" t="n">
        <v>20</v>
      </c>
      <c r="F71" s="115" t="n">
        <v>20</v>
      </c>
      <c r="G71" s="115" t="n">
        <v>20</v>
      </c>
      <c r="H71" s="115" t="n">
        <v>20</v>
      </c>
      <c r="I71" s="115" t="n">
        <v>20</v>
      </c>
      <c r="J71" s="115" t="n">
        <v>20</v>
      </c>
      <c r="K71" s="115" t="n">
        <v>20</v>
      </c>
      <c r="L71" s="115" t="n">
        <v>20</v>
      </c>
    </row>
    <row r="72" customFormat="false" ht="15" hidden="false" customHeight="false" outlineLevel="0" collapsed="false">
      <c r="A72" s="27" t="s">
        <v>2077</v>
      </c>
      <c r="B72" s="63" t="s">
        <v>2014</v>
      </c>
      <c r="C72" s="66" t="n">
        <f aca="false">P72</f>
        <v>0</v>
      </c>
      <c r="E72" s="115" t="n">
        <v>0</v>
      </c>
      <c r="F72" s="115" t="n">
        <v>0</v>
      </c>
      <c r="G72" s="115" t="n">
        <v>28</v>
      </c>
      <c r="H72" s="115" t="n">
        <v>28</v>
      </c>
      <c r="I72" s="115" t="n">
        <v>28</v>
      </c>
      <c r="J72" s="115" t="n">
        <v>28</v>
      </c>
      <c r="K72" s="115" t="n">
        <v>28</v>
      </c>
      <c r="L72" s="115" t="n">
        <v>29</v>
      </c>
    </row>
    <row r="73" customFormat="false" ht="15" hidden="false" customHeight="false" outlineLevel="0" collapsed="false">
      <c r="A73" s="27" t="s">
        <v>2078</v>
      </c>
      <c r="B73" s="63" t="s">
        <v>2014</v>
      </c>
      <c r="C73" s="66" t="n">
        <f aca="false">P73</f>
        <v>0</v>
      </c>
      <c r="E73" s="115" t="n">
        <v>0</v>
      </c>
      <c r="F73" s="115" t="n">
        <v>0</v>
      </c>
      <c r="G73" s="115" t="n">
        <v>0</v>
      </c>
      <c r="H73" s="115" t="n">
        <v>0</v>
      </c>
      <c r="I73" s="115" t="n">
        <v>20</v>
      </c>
      <c r="J73" s="115" t="n">
        <v>20</v>
      </c>
      <c r="K73" s="115" t="n">
        <v>20</v>
      </c>
      <c r="L73" s="115" t="n">
        <v>20</v>
      </c>
    </row>
    <row r="74" customFormat="false" ht="15" hidden="false" customHeight="false" outlineLevel="0" collapsed="false">
      <c r="A74" s="27" t="s">
        <v>2079</v>
      </c>
      <c r="B74" s="63" t="s">
        <v>2014</v>
      </c>
      <c r="C74" s="66" t="n">
        <f aca="false">P74</f>
        <v>0</v>
      </c>
      <c r="E74" s="115" t="n">
        <v>0</v>
      </c>
      <c r="F74" s="115" t="n">
        <v>0</v>
      </c>
      <c r="G74" s="115" t="n">
        <v>0</v>
      </c>
      <c r="H74" s="115" t="n">
        <v>0</v>
      </c>
      <c r="I74" s="115" t="n">
        <v>0</v>
      </c>
      <c r="J74" s="115" t="n">
        <v>0</v>
      </c>
      <c r="K74" s="115" t="n">
        <v>33</v>
      </c>
      <c r="L74" s="115" t="n">
        <v>33</v>
      </c>
    </row>
    <row r="75" customFormat="false" ht="15" hidden="false" customHeight="false" outlineLevel="0" collapsed="false">
      <c r="A75" s="27" t="s">
        <v>2080</v>
      </c>
      <c r="B75" s="63" t="s">
        <v>2081</v>
      </c>
      <c r="C75" s="66" t="n">
        <f aca="false">SUM(E75:P75)</f>
        <v>182821.35</v>
      </c>
      <c r="E75" s="115" t="n">
        <v>22327</v>
      </c>
      <c r="F75" s="115" t="n">
        <v>22365.5</v>
      </c>
      <c r="G75" s="115" t="n">
        <v>22907.5</v>
      </c>
      <c r="H75" s="115" t="n">
        <v>23012.67</v>
      </c>
      <c r="I75" s="115" t="n">
        <v>23012.67</v>
      </c>
      <c r="J75" s="115" t="n">
        <v>23052.17</v>
      </c>
      <c r="K75" s="115" t="n">
        <v>23052.17</v>
      </c>
      <c r="L75" s="115" t="n">
        <v>23091.67</v>
      </c>
    </row>
    <row r="76" customFormat="false" ht="15" hidden="false" customHeight="false" outlineLevel="0" collapsed="false">
      <c r="A76" s="27" t="s">
        <v>2082</v>
      </c>
      <c r="B76" s="63" t="s">
        <v>2081</v>
      </c>
      <c r="C76" s="66" t="n">
        <f aca="false">SUM(E76:P76)</f>
        <v>127545.32</v>
      </c>
      <c r="E76" s="115" t="n">
        <v>15500</v>
      </c>
      <c r="F76" s="115" t="n">
        <v>15588</v>
      </c>
      <c r="G76" s="115" t="n">
        <v>15588</v>
      </c>
      <c r="H76" s="115" t="n">
        <v>16038.43</v>
      </c>
      <c r="I76" s="115" t="n">
        <v>16128.72</v>
      </c>
      <c r="J76" s="115" t="n">
        <v>16173.86</v>
      </c>
      <c r="K76" s="115" t="n">
        <v>16219.01</v>
      </c>
      <c r="L76" s="115" t="n">
        <v>16309.3</v>
      </c>
    </row>
    <row r="77" customFormat="false" ht="15" hidden="false" customHeight="false" outlineLevel="0" collapsed="false">
      <c r="A77" s="27" t="s">
        <v>2083</v>
      </c>
      <c r="B77" s="63" t="s">
        <v>2081</v>
      </c>
      <c r="C77" s="66" t="n">
        <f aca="false">SUM(E77:P77)</f>
        <v>65400</v>
      </c>
      <c r="E77" s="115" t="n">
        <v>8090</v>
      </c>
      <c r="F77" s="115" t="n">
        <v>8130</v>
      </c>
      <c r="G77" s="115" t="n">
        <v>8170</v>
      </c>
      <c r="H77" s="115" t="n">
        <v>8170</v>
      </c>
      <c r="I77" s="115" t="n">
        <v>8210</v>
      </c>
      <c r="J77" s="115" t="n">
        <v>8210</v>
      </c>
      <c r="K77" s="115" t="n">
        <v>8210</v>
      </c>
      <c r="L77" s="115" t="n">
        <v>8210</v>
      </c>
    </row>
    <row r="78" customFormat="false" ht="15" hidden="false" customHeight="false" outlineLevel="0" collapsed="false">
      <c r="A78" s="27" t="s">
        <v>2084</v>
      </c>
      <c r="B78" s="63" t="s">
        <v>2081</v>
      </c>
      <c r="C78" s="66" t="n">
        <f aca="false">SUM(E78:P78)</f>
        <v>53423.16</v>
      </c>
      <c r="E78" s="115" t="n">
        <v>6524</v>
      </c>
      <c r="F78" s="115" t="n">
        <v>6524</v>
      </c>
      <c r="G78" s="115" t="n">
        <v>6693.62</v>
      </c>
      <c r="H78" s="115" t="n">
        <v>6746.98</v>
      </c>
      <c r="I78" s="115" t="n">
        <v>6746.98</v>
      </c>
      <c r="J78" s="115" t="n">
        <v>6746.98</v>
      </c>
      <c r="K78" s="115" t="n">
        <v>6693.62</v>
      </c>
      <c r="L78" s="115" t="n">
        <v>6746.98</v>
      </c>
    </row>
    <row r="79" customFormat="false" ht="15" hidden="false" customHeight="false" outlineLevel="0" collapsed="false">
      <c r="A79" s="27" t="s">
        <v>2085</v>
      </c>
      <c r="B79" s="63" t="s">
        <v>2081</v>
      </c>
      <c r="C79" s="66" t="n">
        <f aca="false">SUM(E79:P79)</f>
        <v>105667.33</v>
      </c>
      <c r="E79" s="115" t="n">
        <v>13099</v>
      </c>
      <c r="F79" s="115" t="n">
        <v>13128</v>
      </c>
      <c r="G79" s="115" t="n">
        <v>13128</v>
      </c>
      <c r="H79" s="115" t="n">
        <v>13128</v>
      </c>
      <c r="I79" s="115" t="n">
        <v>13176</v>
      </c>
      <c r="J79" s="115" t="n">
        <v>13176</v>
      </c>
      <c r="K79" s="115" t="n">
        <v>13205</v>
      </c>
      <c r="L79" s="115" t="n">
        <v>13627.33</v>
      </c>
    </row>
    <row r="80" customFormat="false" ht="15" hidden="false" customHeight="false" outlineLevel="0" collapsed="false">
      <c r="A80" s="27" t="s">
        <v>2086</v>
      </c>
      <c r="B80" s="63" t="s">
        <v>2081</v>
      </c>
      <c r="C80" s="66" t="n">
        <f aca="false">SUM(E80:P80)</f>
        <v>60629.42</v>
      </c>
      <c r="E80" s="115" t="n">
        <v>7552.39</v>
      </c>
      <c r="F80" s="115" t="n">
        <v>7552.39</v>
      </c>
      <c r="G80" s="115" t="n">
        <v>7594.45</v>
      </c>
      <c r="H80" s="115" t="n">
        <v>7594.45</v>
      </c>
      <c r="I80" s="115" t="n">
        <v>7552.39</v>
      </c>
      <c r="J80" s="115" t="n">
        <v>7594.45</v>
      </c>
      <c r="K80" s="115" t="n">
        <v>7594.45</v>
      </c>
      <c r="L80" s="115" t="n">
        <v>7594.45</v>
      </c>
    </row>
    <row r="81" customFormat="false" ht="15" hidden="false" customHeight="false" outlineLevel="0" collapsed="false">
      <c r="A81" s="27" t="s">
        <v>2087</v>
      </c>
      <c r="B81" s="63" t="s">
        <v>2081</v>
      </c>
      <c r="C81" s="66" t="n">
        <f aca="false">SUM(E81:P81)</f>
        <v>47506.66</v>
      </c>
      <c r="E81" s="115" t="n">
        <v>5730</v>
      </c>
      <c r="F81" s="115" t="n">
        <v>5878.98</v>
      </c>
      <c r="G81" s="115" t="n">
        <v>5925.15</v>
      </c>
      <c r="H81" s="115" t="n">
        <v>5925.15</v>
      </c>
      <c r="I81" s="115" t="n">
        <v>5988.76</v>
      </c>
      <c r="J81" s="115" t="n">
        <v>5988.76</v>
      </c>
      <c r="K81" s="115" t="n">
        <v>6034.93</v>
      </c>
      <c r="L81" s="115" t="n">
        <v>6034.93</v>
      </c>
    </row>
    <row r="82" customFormat="false" ht="15" hidden="false" customHeight="false" outlineLevel="0" collapsed="false">
      <c r="A82" s="27" t="s">
        <v>2088</v>
      </c>
      <c r="B82" s="63" t="s">
        <v>2081</v>
      </c>
      <c r="C82" s="66" t="n">
        <f aca="false">SUM(E82:P82)</f>
        <v>92139.93</v>
      </c>
      <c r="E82" s="115" t="n">
        <v>11357.82</v>
      </c>
      <c r="F82" s="115" t="n">
        <v>11397.83</v>
      </c>
      <c r="G82" s="115" t="n">
        <v>11484.02</v>
      </c>
      <c r="H82" s="115" t="n">
        <v>11524.03</v>
      </c>
      <c r="I82" s="115" t="n">
        <v>11564.05</v>
      </c>
      <c r="J82" s="115" t="n">
        <v>11604.06</v>
      </c>
      <c r="K82" s="115" t="n">
        <v>11604.06</v>
      </c>
      <c r="L82" s="115" t="n">
        <v>11604.06</v>
      </c>
    </row>
    <row r="83" customFormat="false" ht="15" hidden="false" customHeight="false" outlineLevel="0" collapsed="false">
      <c r="A83" s="27" t="s">
        <v>2089</v>
      </c>
      <c r="B83" s="63" t="s">
        <v>2081</v>
      </c>
      <c r="C83" s="66" t="n">
        <f aca="false">SUM(E83:P83)</f>
        <v>68283.82</v>
      </c>
      <c r="E83" s="115" t="n">
        <v>8395</v>
      </c>
      <c r="F83" s="115" t="n">
        <v>8435</v>
      </c>
      <c r="G83" s="115" t="n">
        <v>8435</v>
      </c>
      <c r="H83" s="115" t="n">
        <v>8475</v>
      </c>
      <c r="I83" s="115" t="n">
        <v>8515</v>
      </c>
      <c r="J83" s="115" t="n">
        <v>8515</v>
      </c>
      <c r="K83" s="115" t="n">
        <v>8736.39</v>
      </c>
      <c r="L83" s="115" t="n">
        <v>8777.43</v>
      </c>
    </row>
    <row r="84" customFormat="false" ht="15" hidden="false" customHeight="false" outlineLevel="0" collapsed="false">
      <c r="A84" s="27" t="s">
        <v>2090</v>
      </c>
      <c r="B84" s="63" t="s">
        <v>2081</v>
      </c>
      <c r="C84" s="66" t="n">
        <f aca="false">SUM(E84:P84)</f>
        <v>30870</v>
      </c>
      <c r="E84" s="115" t="n">
        <v>3840</v>
      </c>
      <c r="F84" s="115" t="n">
        <v>3840</v>
      </c>
      <c r="G84" s="115" t="n">
        <v>3840</v>
      </c>
      <c r="H84" s="115" t="n">
        <v>3840</v>
      </c>
      <c r="I84" s="115" t="n">
        <v>3840</v>
      </c>
      <c r="J84" s="115" t="n">
        <v>3890</v>
      </c>
      <c r="K84" s="115" t="n">
        <v>3890</v>
      </c>
      <c r="L84" s="115" t="n">
        <v>3890</v>
      </c>
    </row>
    <row r="85" customFormat="false" ht="15" hidden="false" customHeight="false" outlineLevel="0" collapsed="false">
      <c r="A85" s="27" t="s">
        <v>2091</v>
      </c>
      <c r="B85" s="63" t="s">
        <v>2081</v>
      </c>
      <c r="C85" s="66" t="n">
        <f aca="false">SUM(E85:P85)</f>
        <v>63944.1</v>
      </c>
      <c r="E85" s="115" t="n">
        <v>7930</v>
      </c>
      <c r="F85" s="115" t="n">
        <v>7967</v>
      </c>
      <c r="G85" s="115" t="n">
        <v>7967</v>
      </c>
      <c r="H85" s="115" t="n">
        <v>7967</v>
      </c>
      <c r="I85" s="115" t="n">
        <v>7967</v>
      </c>
      <c r="J85" s="115" t="n">
        <v>7967</v>
      </c>
      <c r="K85" s="115" t="n">
        <v>7967</v>
      </c>
      <c r="L85" s="115" t="n">
        <v>8212.1</v>
      </c>
    </row>
    <row r="86" customFormat="false" ht="15" hidden="false" customHeight="false" outlineLevel="0" collapsed="false">
      <c r="A86" s="27" t="s">
        <v>2092</v>
      </c>
      <c r="B86" s="63" t="s">
        <v>2081</v>
      </c>
      <c r="C86" s="66" t="n">
        <f aca="false">SUM(E86:P86)</f>
        <v>53812</v>
      </c>
      <c r="E86" s="115" t="n">
        <v>6706</v>
      </c>
      <c r="F86" s="115" t="n">
        <v>6706</v>
      </c>
      <c r="G86" s="115" t="n">
        <v>6747</v>
      </c>
      <c r="H86" s="115" t="n">
        <v>6706</v>
      </c>
      <c r="I86" s="115" t="n">
        <v>6706</v>
      </c>
      <c r="J86" s="115" t="n">
        <v>6747</v>
      </c>
      <c r="K86" s="115" t="n">
        <v>6747</v>
      </c>
      <c r="L86" s="115" t="n">
        <v>6747</v>
      </c>
    </row>
    <row r="87" customFormat="false" ht="15" hidden="false" customHeight="false" outlineLevel="0" collapsed="false">
      <c r="A87" s="27" t="s">
        <v>2093</v>
      </c>
      <c r="B87" s="63" t="s">
        <v>2081</v>
      </c>
      <c r="C87" s="66" t="n">
        <f aca="false">SUM(E87:P87)</f>
        <v>35148.78</v>
      </c>
      <c r="E87" s="115" t="n">
        <v>4280</v>
      </c>
      <c r="F87" s="115" t="n">
        <v>4280</v>
      </c>
      <c r="G87" s="115" t="n">
        <v>4391.28</v>
      </c>
      <c r="H87" s="115" t="n">
        <v>4439.5</v>
      </c>
      <c r="I87" s="115" t="n">
        <v>4439.5</v>
      </c>
      <c r="J87" s="115" t="n">
        <v>4439.5</v>
      </c>
      <c r="K87" s="115" t="n">
        <v>4439.5</v>
      </c>
      <c r="L87" s="115" t="n">
        <v>4439.5</v>
      </c>
    </row>
    <row r="88" customFormat="false" ht="15" hidden="false" customHeight="false" outlineLevel="0" collapsed="false">
      <c r="A88" s="27" t="s">
        <v>2094</v>
      </c>
      <c r="B88" s="63" t="s">
        <v>2081</v>
      </c>
      <c r="C88" s="66" t="n">
        <f aca="false">SUM(E88:P88)</f>
        <v>42043.04</v>
      </c>
      <c r="E88" s="115" t="n">
        <v>5134</v>
      </c>
      <c r="F88" s="115" t="n">
        <v>5173</v>
      </c>
      <c r="G88" s="115" t="n">
        <v>5173</v>
      </c>
      <c r="H88" s="115" t="n">
        <v>5173</v>
      </c>
      <c r="I88" s="115" t="n">
        <v>5347.51</v>
      </c>
      <c r="J88" s="115" t="n">
        <v>5347.51</v>
      </c>
      <c r="K88" s="115" t="n">
        <v>5347.51</v>
      </c>
      <c r="L88" s="115" t="n">
        <v>5347.51</v>
      </c>
    </row>
    <row r="89" customFormat="false" ht="15" hidden="false" customHeight="false" outlineLevel="0" collapsed="false">
      <c r="A89" s="27" t="s">
        <v>2095</v>
      </c>
      <c r="B89" s="63" t="s">
        <v>2081</v>
      </c>
      <c r="C89" s="66" t="n">
        <f aca="false">SUM(E89:P89)</f>
        <v>41776.27</v>
      </c>
      <c r="E89" s="115" t="n">
        <v>5075</v>
      </c>
      <c r="F89" s="115" t="n">
        <v>5124</v>
      </c>
      <c r="G89" s="115" t="n">
        <v>5124</v>
      </c>
      <c r="H89" s="115" t="n">
        <v>5173</v>
      </c>
      <c r="I89" s="115" t="n">
        <v>5307.5</v>
      </c>
      <c r="J89" s="115" t="n">
        <v>5307.5</v>
      </c>
      <c r="K89" s="115" t="n">
        <v>5307.5</v>
      </c>
      <c r="L89" s="115" t="n">
        <v>5357.77</v>
      </c>
    </row>
    <row r="90" customFormat="false" ht="15" hidden="false" customHeight="false" outlineLevel="0" collapsed="false">
      <c r="A90" s="27" t="s">
        <v>2096</v>
      </c>
      <c r="B90" s="63" t="s">
        <v>2081</v>
      </c>
      <c r="C90" s="66" t="n">
        <f aca="false">SUM(E90:P90)</f>
        <v>70029</v>
      </c>
      <c r="E90" s="115" t="n">
        <v>8724</v>
      </c>
      <c r="F90" s="115" t="n">
        <v>8724</v>
      </c>
      <c r="G90" s="115" t="n">
        <v>8724</v>
      </c>
      <c r="H90" s="115" t="n">
        <v>8760</v>
      </c>
      <c r="I90" s="115" t="n">
        <v>8724</v>
      </c>
      <c r="J90" s="115" t="n">
        <v>8817</v>
      </c>
      <c r="K90" s="115" t="n">
        <v>8760</v>
      </c>
      <c r="L90" s="115" t="n">
        <v>8796</v>
      </c>
    </row>
    <row r="91" customFormat="false" ht="15" hidden="false" customHeight="false" outlineLevel="0" collapsed="false">
      <c r="A91" s="27" t="s">
        <v>2097</v>
      </c>
      <c r="B91" s="63" t="s">
        <v>2081</v>
      </c>
      <c r="C91" s="66" t="n">
        <f aca="false">SUM(E91:P91)</f>
        <v>66738.35</v>
      </c>
      <c r="E91" s="115" t="n">
        <v>8192</v>
      </c>
      <c r="F91" s="115" t="n">
        <v>8192</v>
      </c>
      <c r="G91" s="115" t="n">
        <v>8238</v>
      </c>
      <c r="H91" s="115" t="n">
        <v>8352</v>
      </c>
      <c r="I91" s="115" t="n">
        <v>8352</v>
      </c>
      <c r="J91" s="115" t="n">
        <v>8398</v>
      </c>
      <c r="K91" s="115" t="n">
        <v>8398</v>
      </c>
      <c r="L91" s="115" t="n">
        <v>8616.35</v>
      </c>
    </row>
    <row r="92" customFormat="false" ht="15" hidden="false" customHeight="false" outlineLevel="0" collapsed="false">
      <c r="A92" s="27" t="s">
        <v>2098</v>
      </c>
      <c r="B92" s="63" t="s">
        <v>2081</v>
      </c>
      <c r="C92" s="66" t="n">
        <f aca="false">SUM(E92:P92)</f>
        <v>26724.37</v>
      </c>
      <c r="E92" s="115" t="n">
        <v>3290</v>
      </c>
      <c r="F92" s="115" t="n">
        <v>3290</v>
      </c>
      <c r="G92" s="115" t="n">
        <v>3290</v>
      </c>
      <c r="H92" s="115" t="n">
        <v>3290</v>
      </c>
      <c r="I92" s="115" t="n">
        <v>3290</v>
      </c>
      <c r="J92" s="115" t="n">
        <v>3424.79</v>
      </c>
      <c r="K92" s="115" t="n">
        <v>3424.79</v>
      </c>
      <c r="L92" s="115" t="n">
        <v>3424.79</v>
      </c>
    </row>
    <row r="93" customFormat="false" ht="15" hidden="false" customHeight="false" outlineLevel="0" collapsed="false">
      <c r="A93" s="27" t="s">
        <v>2099</v>
      </c>
      <c r="B93" s="63" t="s">
        <v>2081</v>
      </c>
      <c r="C93" s="66" t="n">
        <f aca="false">SUM(E93:P93)</f>
        <v>63971.72</v>
      </c>
      <c r="E93" s="115" t="n">
        <v>7790</v>
      </c>
      <c r="F93" s="115" t="n">
        <v>7992.54</v>
      </c>
      <c r="G93" s="115" t="n">
        <v>7992.54</v>
      </c>
      <c r="H93" s="115" t="n">
        <v>7992.54</v>
      </c>
      <c r="I93" s="115" t="n">
        <v>8031.53</v>
      </c>
      <c r="J93" s="115" t="n">
        <v>8031.53</v>
      </c>
      <c r="K93" s="115" t="n">
        <v>8070.52</v>
      </c>
      <c r="L93" s="115" t="n">
        <v>8070.52</v>
      </c>
    </row>
    <row r="94" customFormat="false" ht="15" hidden="false" customHeight="false" outlineLevel="0" collapsed="false">
      <c r="A94" s="27" t="s">
        <v>2100</v>
      </c>
      <c r="B94" s="63" t="s">
        <v>2081</v>
      </c>
      <c r="C94" s="66" t="n">
        <f aca="false">SUM(E94:P94)</f>
        <v>59616.75</v>
      </c>
      <c r="E94" s="115" t="n">
        <v>7382.07</v>
      </c>
      <c r="F94" s="115" t="n">
        <v>7422.08</v>
      </c>
      <c r="G94" s="115" t="n">
        <v>7422.08</v>
      </c>
      <c r="H94" s="115" t="n">
        <v>7462.1</v>
      </c>
      <c r="I94" s="115" t="n">
        <v>7462.1</v>
      </c>
      <c r="J94" s="115" t="n">
        <v>7462.1</v>
      </c>
      <c r="K94" s="115" t="n">
        <v>7502.11</v>
      </c>
      <c r="L94" s="115" t="n">
        <v>7502.11</v>
      </c>
    </row>
    <row r="95" customFormat="false" ht="15" hidden="false" customHeight="false" outlineLevel="0" collapsed="false">
      <c r="A95" s="27" t="s">
        <v>2101</v>
      </c>
      <c r="B95" s="63" t="s">
        <v>2081</v>
      </c>
      <c r="C95" s="66" t="n">
        <f aca="false">SUM(E95:P95)</f>
        <v>33576.84</v>
      </c>
      <c r="E95" s="115" t="n">
        <v>4170</v>
      </c>
      <c r="F95" s="115" t="n">
        <v>4170</v>
      </c>
      <c r="G95" s="115" t="n">
        <v>4170</v>
      </c>
      <c r="H95" s="115" t="n">
        <v>4170</v>
      </c>
      <c r="I95" s="115" t="n">
        <v>4170</v>
      </c>
      <c r="J95" s="115" t="n">
        <v>4170</v>
      </c>
      <c r="K95" s="115" t="n">
        <v>4278.42</v>
      </c>
      <c r="L95" s="115" t="n">
        <v>4278.42</v>
      </c>
    </row>
    <row r="96" customFormat="false" ht="15" hidden="false" customHeight="false" outlineLevel="0" collapsed="false">
      <c r="A96" s="27" t="s">
        <v>2102</v>
      </c>
      <c r="B96" s="63" t="s">
        <v>2081</v>
      </c>
      <c r="C96" s="66" t="n">
        <f aca="false">SUM(E96:P96)</f>
        <v>46229</v>
      </c>
      <c r="E96" s="115" t="n">
        <v>5715</v>
      </c>
      <c r="F96" s="115" t="n">
        <v>5752</v>
      </c>
      <c r="G96" s="115" t="n">
        <v>5752</v>
      </c>
      <c r="H96" s="115" t="n">
        <v>5752</v>
      </c>
      <c r="I96" s="115" t="n">
        <v>5796</v>
      </c>
      <c r="J96" s="115" t="n">
        <v>5796</v>
      </c>
      <c r="K96" s="115" t="n">
        <v>5833</v>
      </c>
      <c r="L96" s="115" t="n">
        <v>5833</v>
      </c>
    </row>
    <row r="97" customFormat="false" ht="15" hidden="false" customHeight="false" outlineLevel="0" collapsed="false">
      <c r="A97" s="27" t="s">
        <v>2103</v>
      </c>
      <c r="B97" s="63" t="s">
        <v>2081</v>
      </c>
      <c r="C97" s="66" t="n">
        <f aca="false">SUM(E97:P97)</f>
        <v>22084</v>
      </c>
      <c r="E97" s="115" t="n">
        <v>2728</v>
      </c>
      <c r="F97" s="115" t="n">
        <v>2728</v>
      </c>
      <c r="G97" s="115" t="n">
        <v>2728</v>
      </c>
      <c r="H97" s="115" t="n">
        <v>2780</v>
      </c>
      <c r="I97" s="115" t="n">
        <v>2780</v>
      </c>
      <c r="J97" s="115" t="n">
        <v>2780</v>
      </c>
      <c r="K97" s="115" t="n">
        <v>2780</v>
      </c>
      <c r="L97" s="115" t="n">
        <v>2780</v>
      </c>
    </row>
    <row r="98" customFormat="false" ht="15" hidden="false" customHeight="false" outlineLevel="0" collapsed="false">
      <c r="A98" s="27" t="s">
        <v>2104</v>
      </c>
      <c r="B98" s="63" t="s">
        <v>2081</v>
      </c>
      <c r="C98" s="66" t="n">
        <f aca="false">SUM(E98:P98)</f>
        <v>33078</v>
      </c>
      <c r="E98" s="115" t="n">
        <v>8289</v>
      </c>
      <c r="F98" s="115" t="n">
        <v>8289</v>
      </c>
      <c r="G98" s="115" t="n">
        <v>8250</v>
      </c>
      <c r="H98" s="115" t="n">
        <v>8250</v>
      </c>
      <c r="I98" s="115" t="n">
        <v>0</v>
      </c>
      <c r="J98" s="115" t="n">
        <v>0</v>
      </c>
      <c r="K98" s="115" t="n">
        <v>0</v>
      </c>
      <c r="L98" s="115" t="n">
        <v>0</v>
      </c>
    </row>
    <row r="99" customFormat="false" ht="15" hidden="false" customHeight="false" outlineLevel="0" collapsed="false">
      <c r="A99" s="27" t="s">
        <v>2105</v>
      </c>
      <c r="B99" s="63" t="s">
        <v>2081</v>
      </c>
      <c r="C99" s="66" t="n">
        <f aca="false">SUM(E99:P99)</f>
        <v>73406.7</v>
      </c>
      <c r="E99" s="115" t="n">
        <v>8900</v>
      </c>
      <c r="F99" s="115" t="n">
        <v>8943</v>
      </c>
      <c r="G99" s="115" t="n">
        <v>9050</v>
      </c>
      <c r="H99" s="115" t="n">
        <v>9285.3</v>
      </c>
      <c r="I99" s="115" t="n">
        <v>9241.18</v>
      </c>
      <c r="J99" s="115" t="n">
        <v>9241.18</v>
      </c>
      <c r="K99" s="115" t="n">
        <v>9350.96</v>
      </c>
      <c r="L99" s="115" t="n">
        <v>9395.08</v>
      </c>
    </row>
    <row r="100" customFormat="false" ht="15" hidden="false" customHeight="false" outlineLevel="0" collapsed="false">
      <c r="A100" s="27" t="s">
        <v>2106</v>
      </c>
      <c r="B100" s="63" t="s">
        <v>2081</v>
      </c>
      <c r="C100" s="66" t="n">
        <f aca="false">SUM(E100:P100)</f>
        <v>50059.59</v>
      </c>
      <c r="E100" s="115" t="n">
        <v>6204</v>
      </c>
      <c r="F100" s="115" t="n">
        <v>6204</v>
      </c>
      <c r="G100" s="115" t="n">
        <v>6204</v>
      </c>
      <c r="H100" s="115" t="n">
        <v>6248</v>
      </c>
      <c r="I100" s="115" t="n">
        <v>6248</v>
      </c>
      <c r="J100" s="115" t="n">
        <v>6248</v>
      </c>
      <c r="K100" s="115" t="n">
        <v>6248</v>
      </c>
      <c r="L100" s="115" t="n">
        <v>6455.59</v>
      </c>
    </row>
    <row r="101" customFormat="false" ht="15" hidden="false" customHeight="false" outlineLevel="0" collapsed="false">
      <c r="A101" s="27" t="s">
        <v>2107</v>
      </c>
      <c r="B101" s="63" t="s">
        <v>2081</v>
      </c>
      <c r="C101" s="66" t="n">
        <f aca="false">SUM(E101:P101)</f>
        <v>36874.89</v>
      </c>
      <c r="E101" s="115" t="n">
        <v>4442</v>
      </c>
      <c r="F101" s="115" t="n">
        <v>4557.49</v>
      </c>
      <c r="G101" s="115" t="n">
        <v>4605.71</v>
      </c>
      <c r="H101" s="115" t="n">
        <v>4605.71</v>
      </c>
      <c r="I101" s="115" t="n">
        <v>4653.94</v>
      </c>
      <c r="J101" s="115" t="n">
        <v>4653.94</v>
      </c>
      <c r="K101" s="115" t="n">
        <v>4653.94</v>
      </c>
      <c r="L101" s="115" t="n">
        <v>4702.16</v>
      </c>
    </row>
    <row r="102" customFormat="false" ht="15" hidden="false" customHeight="false" outlineLevel="0" collapsed="false">
      <c r="A102" s="27" t="s">
        <v>2108</v>
      </c>
      <c r="B102" s="63" t="s">
        <v>2081</v>
      </c>
      <c r="C102" s="66" t="n">
        <f aca="false">SUM(E102:P102)</f>
        <v>40605</v>
      </c>
      <c r="E102" s="115" t="n">
        <v>5050</v>
      </c>
      <c r="F102" s="115" t="n">
        <v>5050</v>
      </c>
      <c r="G102" s="115" t="n">
        <v>5091</v>
      </c>
      <c r="H102" s="115" t="n">
        <v>5091</v>
      </c>
      <c r="I102" s="115" t="n">
        <v>5091</v>
      </c>
      <c r="J102" s="115" t="n">
        <v>5091</v>
      </c>
      <c r="K102" s="115" t="n">
        <v>5091</v>
      </c>
      <c r="L102" s="115" t="n">
        <v>5050</v>
      </c>
    </row>
    <row r="103" customFormat="false" ht="15" hidden="false" customHeight="false" outlineLevel="0" collapsed="false">
      <c r="A103" s="27" t="s">
        <v>2109</v>
      </c>
      <c r="B103" s="63" t="s">
        <v>2081</v>
      </c>
      <c r="C103" s="66" t="n">
        <f aca="false">SUM(E103:P103)</f>
        <v>49158</v>
      </c>
      <c r="E103" s="115" t="n">
        <v>6150</v>
      </c>
      <c r="F103" s="115" t="n">
        <v>6150</v>
      </c>
      <c r="G103" s="115" t="n">
        <v>6150</v>
      </c>
      <c r="H103" s="115" t="n">
        <v>6150</v>
      </c>
      <c r="I103" s="115" t="n">
        <v>6150</v>
      </c>
      <c r="J103" s="115" t="n">
        <v>6150</v>
      </c>
      <c r="K103" s="115" t="n">
        <v>6108</v>
      </c>
      <c r="L103" s="115" t="n">
        <v>6150</v>
      </c>
    </row>
    <row r="104" customFormat="false" ht="15" hidden="false" customHeight="false" outlineLevel="0" collapsed="false">
      <c r="A104" s="27" t="s">
        <v>2110</v>
      </c>
      <c r="B104" s="63" t="s">
        <v>2081</v>
      </c>
      <c r="C104" s="66" t="n">
        <f aca="false">SUM(E104:P104)</f>
        <v>30185.52</v>
      </c>
      <c r="E104" s="115" t="n">
        <v>3715</v>
      </c>
      <c r="F104" s="115" t="n">
        <v>3715</v>
      </c>
      <c r="G104" s="115" t="n">
        <v>3760</v>
      </c>
      <c r="H104" s="115" t="n">
        <v>3760</v>
      </c>
      <c r="I104" s="115" t="n">
        <v>3760</v>
      </c>
      <c r="J104" s="115" t="n">
        <v>3760</v>
      </c>
      <c r="K104" s="115" t="n">
        <v>3857.76</v>
      </c>
      <c r="L104" s="115" t="n">
        <v>3857.76</v>
      </c>
    </row>
    <row r="105" customFormat="false" ht="15" hidden="false" customHeight="false" outlineLevel="0" collapsed="false">
      <c r="A105" s="27" t="s">
        <v>2111</v>
      </c>
      <c r="B105" s="63" t="s">
        <v>2081</v>
      </c>
      <c r="C105" s="66" t="n">
        <f aca="false">SUM(E105:P105)</f>
        <v>31774</v>
      </c>
      <c r="E105" s="115" t="n">
        <v>0</v>
      </c>
      <c r="F105" s="115" t="n">
        <v>0</v>
      </c>
      <c r="G105" s="115" t="n">
        <v>5256</v>
      </c>
      <c r="H105" s="115" t="n">
        <v>5256</v>
      </c>
      <c r="I105" s="115" t="n">
        <v>5300</v>
      </c>
      <c r="J105" s="115" t="n">
        <v>5300</v>
      </c>
      <c r="K105" s="115" t="n">
        <v>5300</v>
      </c>
      <c r="L105" s="115" t="n">
        <v>5362</v>
      </c>
    </row>
    <row r="106" customFormat="false" ht="15" hidden="false" customHeight="false" outlineLevel="0" collapsed="false">
      <c r="A106" s="27" t="s">
        <v>2112</v>
      </c>
      <c r="B106" s="63" t="s">
        <v>2081</v>
      </c>
      <c r="C106" s="66" t="n">
        <f aca="false">SUM(E106:P106)</f>
        <v>17036</v>
      </c>
      <c r="E106" s="115" t="n">
        <v>0</v>
      </c>
      <c r="F106" s="115" t="n">
        <v>0</v>
      </c>
      <c r="G106" s="115" t="n">
        <v>0</v>
      </c>
      <c r="H106" s="115" t="n">
        <v>0</v>
      </c>
      <c r="I106" s="115" t="n">
        <v>4236</v>
      </c>
      <c r="J106" s="115" t="n">
        <v>4236</v>
      </c>
      <c r="K106" s="115" t="n">
        <v>4282</v>
      </c>
      <c r="L106" s="115" t="n">
        <v>4282</v>
      </c>
    </row>
    <row r="107" customFormat="false" ht="15" hidden="false" customHeight="false" outlineLevel="0" collapsed="false">
      <c r="A107" s="27" t="s">
        <v>2113</v>
      </c>
      <c r="B107" s="63" t="s">
        <v>2081</v>
      </c>
      <c r="C107" s="66" t="n">
        <f aca="false">SUM(E107:P107)</f>
        <v>12857</v>
      </c>
      <c r="E107" s="115" t="n">
        <v>0</v>
      </c>
      <c r="F107" s="115" t="n">
        <v>0</v>
      </c>
      <c r="G107" s="115" t="n">
        <v>0</v>
      </c>
      <c r="H107" s="115" t="n">
        <v>0</v>
      </c>
      <c r="I107" s="115" t="n">
        <v>0</v>
      </c>
      <c r="J107" s="115" t="n">
        <v>0</v>
      </c>
      <c r="K107" s="115" t="n">
        <v>6408</v>
      </c>
      <c r="L107" s="115" t="n">
        <v>6449</v>
      </c>
    </row>
    <row r="108" customFormat="false" ht="15" hidden="false" customHeight="false" outlineLevel="0" collapsed="false">
      <c r="A108" s="27" t="s">
        <v>2114</v>
      </c>
      <c r="B108" s="63" t="s">
        <v>2081</v>
      </c>
      <c r="C108" s="66" t="n">
        <f aca="false">SUM(E108:P108)</f>
        <v>538291.89</v>
      </c>
      <c r="E108" s="115" t="n">
        <v>65799.8</v>
      </c>
      <c r="F108" s="115" t="n">
        <v>66325.23</v>
      </c>
      <c r="G108" s="115" t="n">
        <v>67699.56</v>
      </c>
      <c r="H108" s="115" t="n">
        <v>67751.59</v>
      </c>
      <c r="I108" s="115" t="n">
        <v>66519.66</v>
      </c>
      <c r="J108" s="115" t="n">
        <v>66724.48</v>
      </c>
      <c r="K108" s="115" t="n">
        <v>68703.74</v>
      </c>
      <c r="L108" s="115" t="n">
        <v>68767.83</v>
      </c>
    </row>
    <row r="109" customFormat="false" ht="15" hidden="false" customHeight="false" outlineLevel="0" collapsed="false">
      <c r="A109" s="27" t="s">
        <v>2115</v>
      </c>
      <c r="B109" s="63" t="s">
        <v>2116</v>
      </c>
      <c r="C109" s="66" t="n">
        <f aca="false">SUM(E109:P109)</f>
        <v>453729.9</v>
      </c>
      <c r="E109" s="115" t="n">
        <v>55539.59</v>
      </c>
      <c r="F109" s="115" t="n">
        <v>55723.08</v>
      </c>
      <c r="G109" s="115" t="n">
        <v>57075.79</v>
      </c>
      <c r="H109" s="115" t="n">
        <v>57176.08</v>
      </c>
      <c r="I109" s="115" t="n">
        <v>56180.58</v>
      </c>
      <c r="J109" s="115" t="n">
        <v>56178.4</v>
      </c>
      <c r="K109" s="115" t="n">
        <v>57775.93</v>
      </c>
      <c r="L109" s="115" t="n">
        <v>58080.45</v>
      </c>
    </row>
    <row r="110" customFormat="false" ht="15" hidden="false" customHeight="false" outlineLevel="0" collapsed="false">
      <c r="A110" s="21" t="s">
        <v>2117</v>
      </c>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row>
    <row r="111" customFormat="false" ht="15" hidden="false" customHeight="false" outlineLevel="0" collapsed="false">
      <c r="A111" s="27" t="s">
        <v>888</v>
      </c>
      <c r="B111" s="63" t="s">
        <v>2118</v>
      </c>
      <c r="C111" s="66" t="n">
        <f aca="false">SUM(E111:P111)</f>
        <v>14381</v>
      </c>
      <c r="E111" s="115" t="n">
        <v>1903</v>
      </c>
      <c r="F111" s="115" t="n">
        <v>1831</v>
      </c>
      <c r="G111" s="115" t="n">
        <v>1874</v>
      </c>
      <c r="H111" s="115" t="n">
        <v>1844</v>
      </c>
      <c r="I111" s="115" t="n">
        <v>1788</v>
      </c>
      <c r="J111" s="115" t="n">
        <v>1748</v>
      </c>
      <c r="K111" s="115" t="n">
        <v>1792</v>
      </c>
      <c r="L111" s="115" t="n">
        <v>1601</v>
      </c>
    </row>
    <row r="112" customFormat="false" ht="15" hidden="false" customHeight="false" outlineLevel="0" collapsed="false">
      <c r="A112" s="27" t="s">
        <v>2119</v>
      </c>
      <c r="B112" s="63" t="s">
        <v>2118</v>
      </c>
      <c r="C112" s="65" t="n">
        <f aca="false">AVERAGE(E112:P112)</f>
        <v>0.923775</v>
      </c>
      <c r="E112" s="137" t="n">
        <v>0.9734</v>
      </c>
      <c r="F112" s="137" t="n">
        <v>0.9803</v>
      </c>
      <c r="G112" s="137" t="n">
        <v>0.9318</v>
      </c>
      <c r="H112" s="137" t="n">
        <v>0.9181</v>
      </c>
      <c r="I112" s="137" t="n">
        <v>0.9122</v>
      </c>
      <c r="J112" s="137" t="n">
        <v>0.9265</v>
      </c>
      <c r="K112" s="137" t="n">
        <v>0.8639</v>
      </c>
      <c r="L112" s="137" t="n">
        <v>0.884</v>
      </c>
    </row>
    <row r="113" customFormat="false" ht="15" hidden="false" customHeight="false" outlineLevel="0" collapsed="false">
      <c r="A113" s="27" t="s">
        <v>2120</v>
      </c>
      <c r="B113" s="63" t="s">
        <v>2121</v>
      </c>
      <c r="C113" s="66" t="n">
        <f aca="false">SUM(E113:P113)</f>
        <v>37653.01</v>
      </c>
      <c r="E113" s="115" t="n">
        <v>0</v>
      </c>
      <c r="F113" s="115" t="n">
        <v>0</v>
      </c>
      <c r="G113" s="115" t="n">
        <v>3235.73</v>
      </c>
      <c r="H113" s="115" t="n">
        <v>4841.71</v>
      </c>
      <c r="I113" s="115" t="n">
        <v>5441.04</v>
      </c>
      <c r="J113" s="115" t="n">
        <v>3820.12</v>
      </c>
      <c r="K113" s="115" t="n">
        <v>11314.01</v>
      </c>
      <c r="L113" s="115" t="n">
        <v>9000.4</v>
      </c>
    </row>
    <row r="114" customFormat="false" ht="15" hidden="false" customHeight="false" outlineLevel="0" collapsed="false">
      <c r="A114" s="21" t="s">
        <v>2122</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row>
    <row r="115" customFormat="false" ht="15" hidden="false" customHeight="false" outlineLevel="0" collapsed="false">
      <c r="A115" s="27" t="s">
        <v>2123</v>
      </c>
      <c r="B115" s="63" t="s">
        <v>2081</v>
      </c>
      <c r="C115" s="66" t="n">
        <f aca="false">SUM(E115:P115)</f>
        <v>335600</v>
      </c>
      <c r="E115" s="115" t="n">
        <v>243500</v>
      </c>
      <c r="F115" s="115" t="n">
        <v>13100</v>
      </c>
      <c r="G115" s="115" t="n">
        <v>19200</v>
      </c>
      <c r="H115" s="115" t="n">
        <v>14900</v>
      </c>
      <c r="I115" s="115" t="n">
        <v>9600</v>
      </c>
      <c r="J115" s="115" t="n">
        <v>17300</v>
      </c>
      <c r="K115" s="115" t="n">
        <v>11600</v>
      </c>
      <c r="L115" s="115" t="n">
        <v>6400</v>
      </c>
    </row>
    <row r="116" customFormat="false" ht="15" hidden="false" customHeight="false" outlineLevel="0" collapsed="false">
      <c r="A116" s="27" t="s">
        <v>2124</v>
      </c>
      <c r="B116" s="63" t="s">
        <v>2081</v>
      </c>
      <c r="C116" s="66" t="n">
        <f aca="false">SUM(E116:P116)</f>
        <v>438000</v>
      </c>
      <c r="E116" s="115" t="n">
        <v>49000</v>
      </c>
      <c r="F116" s="115" t="n">
        <v>54000</v>
      </c>
      <c r="G116" s="115" t="n">
        <v>66000</v>
      </c>
      <c r="H116" s="115" t="n">
        <v>57000</v>
      </c>
      <c r="I116" s="115" t="n">
        <v>58000</v>
      </c>
      <c r="J116" s="115" t="n">
        <v>61000</v>
      </c>
      <c r="K116" s="115" t="n">
        <v>55000</v>
      </c>
      <c r="L116" s="115" t="n">
        <v>38000</v>
      </c>
    </row>
    <row r="117" customFormat="false" ht="15" hidden="false" customHeight="false" outlineLevel="0" collapsed="false">
      <c r="A117" s="27" t="s">
        <v>595</v>
      </c>
      <c r="B117" s="63" t="s">
        <v>2125</v>
      </c>
      <c r="C117" s="66" t="n">
        <f aca="false">SUM(E117:P117)</f>
        <v>1575000</v>
      </c>
      <c r="E117" s="115" t="n">
        <v>186000</v>
      </c>
      <c r="F117" s="115" t="n">
        <v>197000</v>
      </c>
      <c r="G117" s="115" t="n">
        <v>224000</v>
      </c>
      <c r="H117" s="115" t="n">
        <v>201000</v>
      </c>
      <c r="I117" s="115" t="n">
        <v>212000</v>
      </c>
      <c r="J117" s="115" t="n">
        <v>238000</v>
      </c>
      <c r="K117" s="115" t="n">
        <v>196000</v>
      </c>
      <c r="L117" s="115" t="n">
        <v>121000</v>
      </c>
    </row>
    <row r="118" customFormat="false" ht="15" hidden="false" customHeight="false" outlineLevel="0" collapsed="false">
      <c r="A118" s="27" t="s">
        <v>2126</v>
      </c>
      <c r="B118" s="63" t="s">
        <v>2125</v>
      </c>
      <c r="C118" s="66" t="n">
        <f aca="false">SUM(E118:P118)</f>
        <v>1373231</v>
      </c>
      <c r="E118" s="115" t="n">
        <v>161634</v>
      </c>
      <c r="F118" s="115" t="n">
        <v>171587</v>
      </c>
      <c r="G118" s="115" t="n">
        <v>195328</v>
      </c>
      <c r="H118" s="115" t="n">
        <v>175473</v>
      </c>
      <c r="I118" s="115" t="n">
        <v>184652</v>
      </c>
      <c r="J118" s="115" t="n">
        <v>208012</v>
      </c>
      <c r="K118" s="115" t="n">
        <v>170912</v>
      </c>
      <c r="L118" s="115" t="n">
        <v>105633</v>
      </c>
    </row>
    <row r="119" customFormat="false" ht="15" hidden="false" customHeight="false" outlineLevel="0" collapsed="false">
      <c r="A119" s="27" t="s">
        <v>2127</v>
      </c>
      <c r="B119" s="63" t="s">
        <v>2128</v>
      </c>
      <c r="C119" s="66" t="n">
        <f aca="false">P119</f>
        <v>0</v>
      </c>
      <c r="E119" s="115" t="n">
        <v>73904.6</v>
      </c>
      <c r="F119" s="115" t="n">
        <v>76268.62</v>
      </c>
      <c r="G119" s="115" t="n">
        <v>91851.66</v>
      </c>
      <c r="H119" s="115" t="n">
        <v>86610.7</v>
      </c>
      <c r="I119" s="115" t="n">
        <v>79426.39</v>
      </c>
      <c r="J119" s="115" t="n">
        <v>93242.97</v>
      </c>
      <c r="K119" s="115" t="n">
        <v>77430.33</v>
      </c>
      <c r="L119" s="115" t="n">
        <v>52742.81</v>
      </c>
    </row>
    <row r="120" customFormat="false" ht="15" hidden="false" customHeight="false" outlineLevel="0" collapsed="false">
      <c r="A120" s="27" t="s">
        <v>1001</v>
      </c>
      <c r="B120" s="63" t="s">
        <v>2129</v>
      </c>
      <c r="C120" s="66" t="n">
        <f aca="false">SUM(E120:P120)</f>
        <v>19942.12</v>
      </c>
      <c r="E120" s="115" t="n">
        <v>2085.58</v>
      </c>
      <c r="F120" s="115" t="n">
        <v>2609.27</v>
      </c>
      <c r="G120" s="115" t="n">
        <v>3163.67</v>
      </c>
      <c r="H120" s="115" t="n">
        <v>2553.48</v>
      </c>
      <c r="I120" s="115" t="n">
        <v>2662.02</v>
      </c>
      <c r="J120" s="115" t="n">
        <v>3327.43</v>
      </c>
      <c r="K120" s="115" t="n">
        <v>2326.49</v>
      </c>
      <c r="L120" s="115" t="n">
        <v>1214.18</v>
      </c>
    </row>
    <row r="121" customFormat="false" ht="15" hidden="false" customHeight="false" outlineLevel="0" collapsed="false">
      <c r="A121" s="27" t="s">
        <v>2130</v>
      </c>
      <c r="B121" s="63" t="s">
        <v>2131</v>
      </c>
      <c r="C121" s="66" t="n">
        <f aca="false">SUM(E121:P121)</f>
        <v>21263.57</v>
      </c>
      <c r="E121" s="115" t="n">
        <v>7217.99</v>
      </c>
      <c r="F121" s="115" t="n">
        <v>1970.37</v>
      </c>
      <c r="G121" s="115" t="n">
        <v>2150.03</v>
      </c>
      <c r="H121" s="115" t="n">
        <v>2055</v>
      </c>
      <c r="I121" s="115" t="n">
        <v>1904.3</v>
      </c>
      <c r="J121" s="115" t="n">
        <v>2079.79</v>
      </c>
      <c r="K121" s="115" t="n">
        <v>1997.76</v>
      </c>
      <c r="L121" s="115" t="n">
        <v>1888.33</v>
      </c>
    </row>
    <row r="122" customFormat="false" ht="15" hidden="false" customHeight="false" outlineLevel="0" collapsed="false">
      <c r="A122" s="27" t="s">
        <v>2132</v>
      </c>
      <c r="B122" s="63" t="s">
        <v>2131</v>
      </c>
      <c r="C122" s="66" t="n">
        <f aca="false">SUM(E122:P122)</f>
        <v>11628.9</v>
      </c>
      <c r="E122" s="115" t="n">
        <v>1300.95</v>
      </c>
      <c r="F122" s="115" t="n">
        <v>1433.7</v>
      </c>
      <c r="G122" s="115" t="n">
        <v>1752.3</v>
      </c>
      <c r="H122" s="115" t="n">
        <v>1513.35</v>
      </c>
      <c r="I122" s="115" t="n">
        <v>1539.9</v>
      </c>
      <c r="J122" s="115" t="n">
        <v>1619.55</v>
      </c>
      <c r="K122" s="115" t="n">
        <v>1460.25</v>
      </c>
      <c r="L122" s="115" t="n">
        <v>1008.9</v>
      </c>
    </row>
    <row r="123" customFormat="false" ht="15" hidden="false" customHeight="false" outlineLevel="0" collapsed="false">
      <c r="A123" s="21" t="s">
        <v>2133</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row>
    <row r="124" customFormat="false" ht="15" hidden="false" customHeight="false" outlineLevel="0" collapsed="false">
      <c r="A124" s="27" t="s">
        <v>2134</v>
      </c>
      <c r="B124" s="63" t="s">
        <v>2135</v>
      </c>
      <c r="C124" s="66" t="n">
        <f aca="false">SUM(E124:P124)</f>
        <v>1240</v>
      </c>
      <c r="E124" s="115" t="n">
        <v>160</v>
      </c>
      <c r="F124" s="115" t="n">
        <v>175</v>
      </c>
      <c r="G124" s="115" t="n">
        <v>170</v>
      </c>
      <c r="H124" s="115" t="n">
        <v>160</v>
      </c>
      <c r="I124" s="115" t="n">
        <v>160</v>
      </c>
      <c r="J124" s="115" t="n">
        <v>165</v>
      </c>
      <c r="K124" s="115" t="n">
        <v>150</v>
      </c>
      <c r="L124" s="115" t="n">
        <v>100</v>
      </c>
    </row>
    <row r="125" customFormat="false" ht="15" hidden="false" customHeight="false" outlineLevel="0" collapsed="false">
      <c r="A125" s="27" t="s">
        <v>2136</v>
      </c>
      <c r="B125" s="63" t="s">
        <v>2137</v>
      </c>
      <c r="C125" s="66" t="n">
        <f aca="false">SUM(E125:P125)</f>
        <v>980</v>
      </c>
      <c r="E125" s="115" t="n">
        <v>20</v>
      </c>
      <c r="F125" s="115" t="n">
        <v>40</v>
      </c>
      <c r="G125" s="115" t="n">
        <v>80</v>
      </c>
      <c r="H125" s="115" t="n">
        <v>150</v>
      </c>
      <c r="I125" s="115" t="n">
        <v>180</v>
      </c>
      <c r="J125" s="115" t="n">
        <v>200</v>
      </c>
      <c r="K125" s="115" t="n">
        <v>190</v>
      </c>
      <c r="L125" s="115" t="n">
        <v>120</v>
      </c>
    </row>
    <row r="126" customFormat="false" ht="15" hidden="false" customHeight="false" outlineLevel="0" collapsed="false">
      <c r="A126" s="27" t="s">
        <v>2138</v>
      </c>
      <c r="B126" s="63" t="s">
        <v>2135</v>
      </c>
      <c r="C126" s="66" t="n">
        <f aca="false">SUM(E126:P126)</f>
        <v>780</v>
      </c>
      <c r="E126" s="115" t="n">
        <v>170</v>
      </c>
      <c r="F126" s="115" t="n">
        <v>230</v>
      </c>
      <c r="G126" s="115" t="n">
        <v>220</v>
      </c>
      <c r="H126" s="115" t="n">
        <v>160</v>
      </c>
      <c r="I126" s="115" t="n">
        <v>0</v>
      </c>
      <c r="J126" s="115" t="n">
        <v>0</v>
      </c>
      <c r="K126" s="115" t="n">
        <v>0</v>
      </c>
      <c r="L126" s="115" t="n">
        <v>0</v>
      </c>
    </row>
    <row r="127" customFormat="false" ht="15" hidden="false" customHeight="false" outlineLevel="0" collapsed="false">
      <c r="A127" s="27" t="s">
        <v>2139</v>
      </c>
      <c r="B127" s="63" t="s">
        <v>2137</v>
      </c>
      <c r="C127" s="66" t="n">
        <f aca="false">SUM(E127:P127)</f>
        <v>0</v>
      </c>
      <c r="E127" s="115" t="n">
        <v>0</v>
      </c>
      <c r="F127" s="115" t="n">
        <v>0</v>
      </c>
      <c r="G127" s="115" t="n">
        <v>0</v>
      </c>
      <c r="H127" s="115" t="n">
        <v>0</v>
      </c>
      <c r="I127" s="115" t="n">
        <v>0</v>
      </c>
      <c r="J127" s="115" t="n">
        <v>0</v>
      </c>
      <c r="K127" s="115" t="n">
        <v>0</v>
      </c>
      <c r="L127" s="115" t="n">
        <v>0</v>
      </c>
    </row>
    <row r="128" customFormat="false" ht="15" hidden="false" customHeight="false" outlineLevel="0" collapsed="false">
      <c r="A128" s="27" t="s">
        <v>2140</v>
      </c>
      <c r="B128" s="63" t="s">
        <v>2135</v>
      </c>
      <c r="C128" s="66" t="n">
        <f aca="false">SUM(E128:P128)</f>
        <v>640</v>
      </c>
      <c r="E128" s="115" t="n">
        <v>0</v>
      </c>
      <c r="F128" s="115" t="n">
        <v>0</v>
      </c>
      <c r="G128" s="115" t="n">
        <v>110</v>
      </c>
      <c r="H128" s="115" t="n">
        <v>150</v>
      </c>
      <c r="I128" s="115" t="n">
        <v>150</v>
      </c>
      <c r="J128" s="115" t="n">
        <v>140</v>
      </c>
      <c r="K128" s="115" t="n">
        <v>90</v>
      </c>
      <c r="L128" s="115" t="n">
        <v>0</v>
      </c>
    </row>
    <row r="129" customFormat="false" ht="15" hidden="false" customHeight="false" outlineLevel="0" collapsed="false">
      <c r="A129" s="27" t="s">
        <v>2141</v>
      </c>
      <c r="B129" s="63" t="s">
        <v>2137</v>
      </c>
      <c r="C129" s="66" t="n">
        <f aca="false">SUM(E129:P129)</f>
        <v>0</v>
      </c>
      <c r="E129" s="115" t="n">
        <v>0</v>
      </c>
      <c r="F129" s="115" t="n">
        <v>0</v>
      </c>
      <c r="G129" s="115" t="n">
        <v>0</v>
      </c>
      <c r="H129" s="115" t="n">
        <v>0</v>
      </c>
      <c r="I129" s="115" t="n">
        <v>0</v>
      </c>
      <c r="J129" s="115" t="n">
        <v>0</v>
      </c>
      <c r="K129" s="115" t="n">
        <v>0</v>
      </c>
      <c r="L129" s="115" t="n">
        <v>0</v>
      </c>
    </row>
    <row r="130" customFormat="false" ht="15" hidden="false" customHeight="false" outlineLevel="0" collapsed="false">
      <c r="A130" s="27" t="s">
        <v>2142</v>
      </c>
      <c r="B130" s="63" t="s">
        <v>2135</v>
      </c>
      <c r="C130" s="66" t="n">
        <f aca="false">SUM(E130:P130)</f>
        <v>727</v>
      </c>
      <c r="E130" s="115" t="n">
        <v>0</v>
      </c>
      <c r="F130" s="115" t="n">
        <v>95</v>
      </c>
      <c r="G130" s="115" t="n">
        <v>118</v>
      </c>
      <c r="H130" s="115" t="n">
        <v>112</v>
      </c>
      <c r="I130" s="115" t="n">
        <v>110</v>
      </c>
      <c r="J130" s="115" t="n">
        <v>116</v>
      </c>
      <c r="K130" s="115" t="n">
        <v>104</v>
      </c>
      <c r="L130" s="115" t="n">
        <v>72</v>
      </c>
    </row>
    <row r="131" customFormat="false" ht="15" hidden="false" customHeight="false" outlineLevel="0" collapsed="false">
      <c r="A131" s="27" t="s">
        <v>2143</v>
      </c>
      <c r="B131" s="63" t="s">
        <v>2137</v>
      </c>
      <c r="C131" s="66" t="n">
        <f aca="false">SUM(E131:P131)</f>
        <v>0</v>
      </c>
      <c r="E131" s="115" t="n">
        <v>0</v>
      </c>
      <c r="F131" s="115" t="n">
        <v>0</v>
      </c>
      <c r="G131" s="115" t="n">
        <v>0</v>
      </c>
      <c r="H131" s="115" t="n">
        <v>0</v>
      </c>
      <c r="I131" s="115" t="n">
        <v>0</v>
      </c>
      <c r="J131" s="115" t="n">
        <v>0</v>
      </c>
      <c r="K131" s="115" t="n">
        <v>0</v>
      </c>
      <c r="L131" s="115" t="n">
        <v>0</v>
      </c>
    </row>
    <row r="132" customFormat="false" ht="15" hidden="false" customHeight="false" outlineLevel="0" collapsed="false">
      <c r="A132" s="27" t="s">
        <v>2144</v>
      </c>
      <c r="B132" s="63" t="s">
        <v>2135</v>
      </c>
      <c r="C132" s="66" t="n">
        <f aca="false">SUM(E132:P132)</f>
        <v>1074</v>
      </c>
      <c r="E132" s="115" t="n">
        <v>132</v>
      </c>
      <c r="F132" s="115" t="n">
        <v>140</v>
      </c>
      <c r="G132" s="115" t="n">
        <v>146</v>
      </c>
      <c r="H132" s="115" t="n">
        <v>138</v>
      </c>
      <c r="I132" s="115" t="n">
        <v>142</v>
      </c>
      <c r="J132" s="115" t="n">
        <v>144</v>
      </c>
      <c r="K132" s="115" t="n">
        <v>136</v>
      </c>
      <c r="L132" s="115" t="n">
        <v>96</v>
      </c>
    </row>
    <row r="133" customFormat="false" ht="15" hidden="false" customHeight="false" outlineLevel="0" collapsed="false">
      <c r="A133" s="27" t="s">
        <v>2145</v>
      </c>
      <c r="B133" s="63" t="s">
        <v>2137</v>
      </c>
      <c r="C133" s="66" t="n">
        <f aca="false">SUM(E133:P133)</f>
        <v>0</v>
      </c>
      <c r="E133" s="115" t="n">
        <v>0</v>
      </c>
      <c r="F133" s="115" t="n">
        <v>0</v>
      </c>
      <c r="G133" s="115" t="n">
        <v>0</v>
      </c>
      <c r="H133" s="115" t="n">
        <v>0</v>
      </c>
      <c r="I133" s="115" t="n">
        <v>0</v>
      </c>
      <c r="J133" s="115" t="n">
        <v>0</v>
      </c>
      <c r="K133" s="115" t="n">
        <v>0</v>
      </c>
      <c r="L133" s="115" t="n">
        <v>0</v>
      </c>
    </row>
    <row r="134" customFormat="false" ht="15" hidden="false" customHeight="false" outlineLevel="0" collapsed="false">
      <c r="A134" s="27" t="s">
        <v>2146</v>
      </c>
      <c r="B134" s="63" t="s">
        <v>2135</v>
      </c>
      <c r="C134" s="66" t="n">
        <f aca="false">SUM(E134:P134)</f>
        <v>410</v>
      </c>
      <c r="E134" s="115" t="n">
        <v>0</v>
      </c>
      <c r="F134" s="115" t="n">
        <v>0</v>
      </c>
      <c r="G134" s="115" t="n">
        <v>120</v>
      </c>
      <c r="H134" s="115" t="n">
        <v>160</v>
      </c>
      <c r="I134" s="115" t="n">
        <v>130</v>
      </c>
      <c r="J134" s="115" t="n">
        <v>0</v>
      </c>
      <c r="K134" s="115" t="n">
        <v>0</v>
      </c>
      <c r="L134" s="115" t="n">
        <v>0</v>
      </c>
    </row>
    <row r="135" customFormat="false" ht="15" hidden="false" customHeight="false" outlineLevel="0" collapsed="false">
      <c r="A135" s="27" t="s">
        <v>2147</v>
      </c>
      <c r="B135" s="63" t="s">
        <v>2137</v>
      </c>
      <c r="C135" s="66" t="n">
        <f aca="false">SUM(E135:P135)</f>
        <v>0</v>
      </c>
      <c r="E135" s="115" t="n">
        <v>0</v>
      </c>
      <c r="F135" s="115" t="n">
        <v>0</v>
      </c>
      <c r="G135" s="115" t="n">
        <v>0</v>
      </c>
      <c r="H135" s="115" t="n">
        <v>0</v>
      </c>
      <c r="I135" s="115" t="n">
        <v>0</v>
      </c>
      <c r="J135" s="115" t="n">
        <v>0</v>
      </c>
      <c r="K135" s="115" t="n">
        <v>0</v>
      </c>
      <c r="L135" s="115" t="n">
        <v>0</v>
      </c>
    </row>
    <row r="136" customFormat="false" ht="15" hidden="false" customHeight="false" outlineLevel="0" collapsed="false">
      <c r="A136" s="27" t="s">
        <v>2148</v>
      </c>
      <c r="B136" s="63" t="s">
        <v>2135</v>
      </c>
      <c r="C136" s="66" t="n">
        <f aca="false">SUM(E136:P136)</f>
        <v>310</v>
      </c>
      <c r="E136" s="115" t="n">
        <v>0</v>
      </c>
      <c r="F136" s="115" t="n">
        <v>0</v>
      </c>
      <c r="G136" s="115" t="n">
        <v>0</v>
      </c>
      <c r="H136" s="115" t="n">
        <v>0</v>
      </c>
      <c r="I136" s="115" t="n">
        <v>0</v>
      </c>
      <c r="J136" s="115" t="n">
        <v>95</v>
      </c>
      <c r="K136" s="115" t="n">
        <v>130</v>
      </c>
      <c r="L136" s="115" t="n">
        <v>85</v>
      </c>
    </row>
    <row r="137" customFormat="false" ht="15" hidden="false" customHeight="false" outlineLevel="0" collapsed="false">
      <c r="A137" s="27" t="s">
        <v>2149</v>
      </c>
      <c r="B137" s="63" t="s">
        <v>2137</v>
      </c>
      <c r="C137" s="66" t="n">
        <f aca="false">SUM(E137:P137)</f>
        <v>0</v>
      </c>
      <c r="E137" s="115" t="n">
        <v>0</v>
      </c>
      <c r="F137" s="115" t="n">
        <v>0</v>
      </c>
      <c r="G137" s="115" t="n">
        <v>0</v>
      </c>
      <c r="H137" s="115" t="n">
        <v>0</v>
      </c>
      <c r="I137" s="115" t="n">
        <v>0</v>
      </c>
      <c r="J137" s="115" t="n">
        <v>0</v>
      </c>
      <c r="K137" s="115" t="n">
        <v>0</v>
      </c>
      <c r="L137" s="115" t="n">
        <v>0</v>
      </c>
    </row>
    <row r="138" customFormat="false" ht="15" hidden="false" customHeight="false" outlineLevel="0" collapsed="false">
      <c r="A138" s="27" t="s">
        <v>2150</v>
      </c>
      <c r="B138" s="63" t="s">
        <v>2135</v>
      </c>
      <c r="C138" s="66" t="n">
        <f aca="false">SUM(E138:P138)</f>
        <v>0</v>
      </c>
      <c r="E138" s="115" t="n">
        <v>0</v>
      </c>
      <c r="F138" s="115" t="n">
        <v>0</v>
      </c>
      <c r="G138" s="115" t="n">
        <v>0</v>
      </c>
      <c r="H138" s="115" t="n">
        <v>0</v>
      </c>
      <c r="I138" s="115" t="n">
        <v>0</v>
      </c>
      <c r="J138" s="115" t="n">
        <v>0</v>
      </c>
      <c r="K138" s="115" t="n">
        <v>0</v>
      </c>
      <c r="L138" s="115" t="n">
        <v>0</v>
      </c>
    </row>
    <row r="139" customFormat="false" ht="15" hidden="false" customHeight="false" outlineLevel="0" collapsed="false">
      <c r="A139" s="27" t="s">
        <v>2151</v>
      </c>
      <c r="B139" s="63" t="s">
        <v>2137</v>
      </c>
      <c r="C139" s="66" t="n">
        <f aca="false">SUM(E139:P139)</f>
        <v>0</v>
      </c>
      <c r="E139" s="115" t="n">
        <v>0</v>
      </c>
      <c r="F139" s="115" t="n">
        <v>0</v>
      </c>
      <c r="G139" s="115" t="n">
        <v>0</v>
      </c>
      <c r="H139" s="115" t="n">
        <v>0</v>
      </c>
      <c r="I139" s="115" t="n">
        <v>0</v>
      </c>
      <c r="J139" s="115" t="n">
        <v>0</v>
      </c>
      <c r="K139" s="115" t="n">
        <v>0</v>
      </c>
      <c r="L139" s="115" t="n">
        <v>0</v>
      </c>
    </row>
    <row r="140" customFormat="false" ht="15" hidden="false" customHeight="false" outlineLevel="0" collapsed="false">
      <c r="A140" s="27" t="s">
        <v>2152</v>
      </c>
      <c r="B140" s="63" t="s">
        <v>2135</v>
      </c>
      <c r="C140" s="66" t="n">
        <f aca="false">SUM(E140:P140)</f>
        <v>621</v>
      </c>
      <c r="E140" s="115" t="n">
        <v>78</v>
      </c>
      <c r="F140" s="115" t="n">
        <v>82</v>
      </c>
      <c r="G140" s="115" t="n">
        <v>80</v>
      </c>
      <c r="H140" s="115" t="n">
        <v>79</v>
      </c>
      <c r="I140" s="115" t="n">
        <v>81</v>
      </c>
      <c r="J140" s="115" t="n">
        <v>83</v>
      </c>
      <c r="K140" s="115" t="n">
        <v>80</v>
      </c>
      <c r="L140" s="115" t="n">
        <v>58</v>
      </c>
    </row>
    <row r="141" customFormat="false" ht="15" hidden="false" customHeight="false" outlineLevel="0" collapsed="false">
      <c r="A141" s="27" t="s">
        <v>2153</v>
      </c>
      <c r="B141" s="63" t="s">
        <v>2137</v>
      </c>
      <c r="C141" s="66" t="n">
        <f aca="false">SUM(E141:P141)</f>
        <v>0</v>
      </c>
      <c r="E141" s="115" t="n">
        <v>0</v>
      </c>
      <c r="F141" s="115" t="n">
        <v>0</v>
      </c>
      <c r="G141" s="115" t="n">
        <v>0</v>
      </c>
      <c r="H141" s="115" t="n">
        <v>0</v>
      </c>
      <c r="I141" s="115" t="n">
        <v>0</v>
      </c>
      <c r="J141" s="115" t="n">
        <v>0</v>
      </c>
      <c r="K141" s="115" t="n">
        <v>0</v>
      </c>
      <c r="L141" s="115" t="n">
        <v>0</v>
      </c>
    </row>
    <row r="142" customFormat="false" ht="15" hidden="false" customHeight="false" outlineLevel="0" collapsed="false">
      <c r="A142" s="27" t="s">
        <v>2154</v>
      </c>
      <c r="B142" s="63" t="s">
        <v>2135</v>
      </c>
      <c r="C142" s="66" t="n">
        <f aca="false">SUM(E142:P142)</f>
        <v>225</v>
      </c>
      <c r="E142" s="115" t="n">
        <v>0</v>
      </c>
      <c r="F142" s="115" t="n">
        <v>0</v>
      </c>
      <c r="G142" s="115" t="n">
        <v>0</v>
      </c>
      <c r="H142" s="115" t="n">
        <v>0</v>
      </c>
      <c r="I142" s="115" t="n">
        <v>0</v>
      </c>
      <c r="J142" s="115" t="n">
        <v>0</v>
      </c>
      <c r="K142" s="115" t="n">
        <v>130</v>
      </c>
      <c r="L142" s="115" t="n">
        <v>95</v>
      </c>
    </row>
    <row r="143" customFormat="false" ht="15" hidden="false" customHeight="false" outlineLevel="0" collapsed="false">
      <c r="A143" s="27" t="s">
        <v>2155</v>
      </c>
      <c r="B143" s="63" t="s">
        <v>2137</v>
      </c>
      <c r="C143" s="66" t="n">
        <f aca="false">SUM(E143:P143)</f>
        <v>0</v>
      </c>
      <c r="E143" s="115" t="n">
        <v>0</v>
      </c>
      <c r="F143" s="115" t="n">
        <v>0</v>
      </c>
      <c r="G143" s="115" t="n">
        <v>0</v>
      </c>
      <c r="H143" s="115" t="n">
        <v>0</v>
      </c>
      <c r="I143" s="115" t="n">
        <v>0</v>
      </c>
      <c r="J143" s="115" t="n">
        <v>0</v>
      </c>
      <c r="K143" s="115" t="n">
        <v>0</v>
      </c>
      <c r="L143" s="115" t="n">
        <v>0</v>
      </c>
    </row>
    <row r="144" customFormat="false" ht="15" hidden="false" customHeight="false" outlineLevel="0" collapsed="false">
      <c r="A144" s="27" t="s">
        <v>2156</v>
      </c>
      <c r="B144" s="63" t="s">
        <v>2135</v>
      </c>
      <c r="C144" s="66" t="n">
        <f aca="false">SUM(E144:P144)</f>
        <v>880</v>
      </c>
      <c r="E144" s="115" t="n">
        <v>120</v>
      </c>
      <c r="F144" s="115" t="n">
        <v>160</v>
      </c>
      <c r="G144" s="115" t="n">
        <v>170</v>
      </c>
      <c r="H144" s="115" t="n">
        <v>160</v>
      </c>
      <c r="I144" s="115" t="n">
        <v>150</v>
      </c>
      <c r="J144" s="115" t="n">
        <v>120</v>
      </c>
      <c r="K144" s="115" t="n">
        <v>0</v>
      </c>
      <c r="L144" s="115" t="n">
        <v>0</v>
      </c>
    </row>
    <row r="145" customFormat="false" ht="15" hidden="false" customHeight="false" outlineLevel="0" collapsed="false">
      <c r="A145" s="27" t="s">
        <v>2157</v>
      </c>
      <c r="B145" s="63" t="s">
        <v>2137</v>
      </c>
      <c r="C145" s="66" t="n">
        <f aca="false">SUM(E145:P145)</f>
        <v>0</v>
      </c>
      <c r="E145" s="115" t="n">
        <v>0</v>
      </c>
      <c r="F145" s="115" t="n">
        <v>0</v>
      </c>
      <c r="G145" s="115" t="n">
        <v>0</v>
      </c>
      <c r="H145" s="115" t="n">
        <v>0</v>
      </c>
      <c r="I145" s="115" t="n">
        <v>0</v>
      </c>
      <c r="J145" s="115" t="n">
        <v>0</v>
      </c>
      <c r="K145" s="115" t="n">
        <v>0</v>
      </c>
      <c r="L145" s="115" t="n">
        <v>0</v>
      </c>
    </row>
    <row r="146" customFormat="false" ht="15" hidden="false" customHeight="false" outlineLevel="0" collapsed="false">
      <c r="A146" s="27" t="s">
        <v>2158</v>
      </c>
      <c r="B146" s="63" t="s">
        <v>2135</v>
      </c>
      <c r="C146" s="66" t="n">
        <f aca="false">SUM(E146:P146)</f>
        <v>305</v>
      </c>
      <c r="E146" s="115" t="n">
        <v>0</v>
      </c>
      <c r="F146" s="115" t="n">
        <v>0</v>
      </c>
      <c r="G146" s="115" t="n">
        <v>0</v>
      </c>
      <c r="H146" s="115" t="n">
        <v>0</v>
      </c>
      <c r="I146" s="115" t="n">
        <v>90</v>
      </c>
      <c r="J146" s="115" t="n">
        <v>120</v>
      </c>
      <c r="K146" s="115" t="n">
        <v>95</v>
      </c>
      <c r="L146" s="115" t="n">
        <v>0</v>
      </c>
    </row>
    <row r="147" customFormat="false" ht="15" hidden="false" customHeight="false" outlineLevel="0" collapsed="false">
      <c r="A147" s="27" t="s">
        <v>2159</v>
      </c>
      <c r="B147" s="63" t="s">
        <v>2137</v>
      </c>
      <c r="C147" s="66" t="n">
        <f aca="false">SUM(E147:P147)</f>
        <v>0</v>
      </c>
      <c r="E147" s="115" t="n">
        <v>0</v>
      </c>
      <c r="F147" s="115" t="n">
        <v>0</v>
      </c>
      <c r="G147" s="115" t="n">
        <v>0</v>
      </c>
      <c r="H147" s="115" t="n">
        <v>0</v>
      </c>
      <c r="I147" s="115" t="n">
        <v>0</v>
      </c>
      <c r="J147" s="115" t="n">
        <v>0</v>
      </c>
      <c r="K147" s="115" t="n">
        <v>0</v>
      </c>
      <c r="L147" s="115" t="n">
        <v>0</v>
      </c>
    </row>
    <row r="148" customFormat="false" ht="15" hidden="false" customHeight="false" outlineLevel="0" collapsed="false">
      <c r="A148" s="27" t="s">
        <v>2160</v>
      </c>
      <c r="B148" s="63" t="s">
        <v>2161</v>
      </c>
      <c r="C148" s="66" t="n">
        <f aca="false">SUM(E148:P148)</f>
        <v>94629.34</v>
      </c>
      <c r="E148" s="115" t="n">
        <v>13873.18</v>
      </c>
      <c r="F148" s="115" t="n">
        <v>16570.73</v>
      </c>
      <c r="G148" s="115" t="n">
        <v>19268.29</v>
      </c>
      <c r="H148" s="115" t="n">
        <v>23892.68</v>
      </c>
      <c r="I148" s="115" t="n">
        <v>26204.88</v>
      </c>
      <c r="J148" s="115" t="n">
        <v>-30460.42</v>
      </c>
      <c r="K148" s="115" t="n">
        <v>15348.57</v>
      </c>
      <c r="L148" s="115" t="n">
        <v>9931.43</v>
      </c>
    </row>
    <row r="149" customFormat="false" ht="15" hidden="false" customHeight="false" outlineLevel="0" collapsed="false">
      <c r="A149" s="27" t="s">
        <v>2162</v>
      </c>
      <c r="B149" s="63" t="s">
        <v>2081</v>
      </c>
      <c r="C149" s="66" t="n">
        <f aca="false">SUM(E149:P149)</f>
        <v>63200</v>
      </c>
      <c r="E149" s="115" t="n">
        <v>0</v>
      </c>
      <c r="F149" s="115" t="n">
        <v>0</v>
      </c>
      <c r="G149" s="115" t="n">
        <v>0</v>
      </c>
      <c r="H149" s="115" t="n">
        <v>63200</v>
      </c>
      <c r="I149" s="115" t="n">
        <v>0</v>
      </c>
      <c r="J149" s="115" t="n">
        <v>0</v>
      </c>
      <c r="K149" s="115" t="n">
        <v>0</v>
      </c>
      <c r="L149" s="115" t="n">
        <v>0</v>
      </c>
    </row>
    <row r="150" customFormat="false" ht="15" hidden="false" customHeight="false" outlineLevel="0" collapsed="false">
      <c r="A150" s="27" t="s">
        <v>2163</v>
      </c>
      <c r="B150" s="63" t="s">
        <v>2164</v>
      </c>
      <c r="C150" s="66" t="n">
        <f aca="false">P150</f>
        <v>0</v>
      </c>
      <c r="E150" s="115" t="n">
        <v>0</v>
      </c>
      <c r="F150" s="115" t="n">
        <v>0</v>
      </c>
      <c r="G150" s="115" t="n">
        <v>0</v>
      </c>
      <c r="H150" s="115" t="n">
        <v>0</v>
      </c>
      <c r="I150" s="115" t="n">
        <v>0</v>
      </c>
      <c r="J150" s="115" t="n">
        <v>10147.14</v>
      </c>
      <c r="K150" s="115" t="n">
        <v>5415.71</v>
      </c>
      <c r="L150" s="115" t="n">
        <v>2507.14</v>
      </c>
    </row>
    <row r="151" customFormat="false" ht="15" hidden="false" customHeight="false" outlineLevel="0" collapsed="false">
      <c r="A151" s="27" t="s">
        <v>2165</v>
      </c>
      <c r="B151" s="63" t="s">
        <v>2161</v>
      </c>
      <c r="C151" s="66" t="n">
        <f aca="false">SUM(E151:P151)</f>
        <v>64000</v>
      </c>
      <c r="E151" s="115" t="n">
        <v>13948.72</v>
      </c>
      <c r="F151" s="115" t="n">
        <v>18871.79</v>
      </c>
      <c r="G151" s="115" t="n">
        <v>18051.28</v>
      </c>
      <c r="H151" s="115" t="n">
        <v>13128.21</v>
      </c>
      <c r="I151" s="115" t="n">
        <v>0</v>
      </c>
      <c r="J151" s="115" t="n">
        <v>0</v>
      </c>
      <c r="K151" s="115" t="n">
        <v>0</v>
      </c>
      <c r="L151" s="115" t="n">
        <v>0</v>
      </c>
    </row>
    <row r="152" customFormat="false" ht="15" hidden="false" customHeight="false" outlineLevel="0" collapsed="false">
      <c r="A152" s="27" t="s">
        <v>2166</v>
      </c>
      <c r="B152" s="63" t="s">
        <v>2081</v>
      </c>
      <c r="C152" s="66" t="n">
        <f aca="false">SUM(E152:P152)</f>
        <v>64000</v>
      </c>
      <c r="E152" s="115" t="n">
        <v>19200</v>
      </c>
      <c r="F152" s="115" t="n">
        <v>25600</v>
      </c>
      <c r="G152" s="115" t="n">
        <v>0</v>
      </c>
      <c r="H152" s="115" t="n">
        <v>19200</v>
      </c>
      <c r="I152" s="115" t="n">
        <v>0</v>
      </c>
      <c r="J152" s="115" t="n">
        <v>0</v>
      </c>
      <c r="K152" s="115" t="n">
        <v>0</v>
      </c>
      <c r="L152" s="115" t="n">
        <v>0</v>
      </c>
    </row>
    <row r="153" customFormat="false" ht="15" hidden="false" customHeight="false" outlineLevel="0" collapsed="false">
      <c r="A153" s="27" t="s">
        <v>2167</v>
      </c>
      <c r="B153" s="63" t="s">
        <v>2164</v>
      </c>
      <c r="C153" s="66" t="n">
        <f aca="false">P153</f>
        <v>0</v>
      </c>
      <c r="E153" s="115" t="n">
        <v>0</v>
      </c>
      <c r="F153" s="115" t="n">
        <v>0</v>
      </c>
      <c r="G153" s="115" t="n">
        <v>0</v>
      </c>
      <c r="H153" s="115" t="n">
        <v>0</v>
      </c>
      <c r="I153" s="115" t="n">
        <v>0</v>
      </c>
      <c r="J153" s="115" t="n">
        <v>0</v>
      </c>
      <c r="K153" s="115" t="n">
        <v>0</v>
      </c>
      <c r="L153" s="115" t="n">
        <v>0</v>
      </c>
    </row>
    <row r="154" customFormat="false" ht="15" hidden="false" customHeight="false" outlineLevel="0" collapsed="false">
      <c r="A154" s="27" t="s">
        <v>2168</v>
      </c>
      <c r="B154" s="63" t="s">
        <v>2161</v>
      </c>
      <c r="C154" s="66" t="n">
        <f aca="false">SUM(E154:P154)</f>
        <v>52000</v>
      </c>
      <c r="E154" s="115" t="n">
        <v>0</v>
      </c>
      <c r="F154" s="115" t="n">
        <v>0</v>
      </c>
      <c r="G154" s="115" t="n">
        <v>8937.5</v>
      </c>
      <c r="H154" s="115" t="n">
        <v>12187.5</v>
      </c>
      <c r="I154" s="115" t="n">
        <v>12187.5</v>
      </c>
      <c r="J154" s="115" t="n">
        <v>11375</v>
      </c>
      <c r="K154" s="115" t="n">
        <v>7312.5</v>
      </c>
      <c r="L154" s="115" t="n">
        <v>0</v>
      </c>
    </row>
    <row r="155" customFormat="false" ht="15" hidden="false" customHeight="false" outlineLevel="0" collapsed="false">
      <c r="A155" s="27" t="s">
        <v>2169</v>
      </c>
      <c r="B155" s="63" t="s">
        <v>2081</v>
      </c>
      <c r="C155" s="66" t="n">
        <f aca="false">SUM(E155:P155)</f>
        <v>52000</v>
      </c>
      <c r="E155" s="115" t="n">
        <v>0</v>
      </c>
      <c r="F155" s="115" t="n">
        <v>0</v>
      </c>
      <c r="G155" s="115" t="n">
        <v>15600</v>
      </c>
      <c r="H155" s="115" t="n">
        <v>0</v>
      </c>
      <c r="I155" s="115" t="n">
        <v>20800</v>
      </c>
      <c r="J155" s="115" t="n">
        <v>0</v>
      </c>
      <c r="K155" s="115" t="n">
        <v>15600</v>
      </c>
      <c r="L155" s="115" t="n">
        <v>0</v>
      </c>
    </row>
    <row r="156" customFormat="false" ht="15" hidden="false" customHeight="false" outlineLevel="0" collapsed="false">
      <c r="A156" s="27" t="s">
        <v>2170</v>
      </c>
      <c r="B156" s="63" t="s">
        <v>2164</v>
      </c>
      <c r="C156" s="66" t="n">
        <f aca="false">P156</f>
        <v>0</v>
      </c>
      <c r="E156" s="115" t="n">
        <v>0</v>
      </c>
      <c r="F156" s="115" t="n">
        <v>0</v>
      </c>
      <c r="G156" s="115" t="n">
        <v>0</v>
      </c>
      <c r="H156" s="115" t="n">
        <v>0</v>
      </c>
      <c r="I156" s="115" t="n">
        <v>0</v>
      </c>
      <c r="J156" s="115" t="n">
        <v>0</v>
      </c>
      <c r="K156" s="115" t="n">
        <v>0</v>
      </c>
      <c r="L156" s="115" t="n">
        <v>0</v>
      </c>
    </row>
    <row r="157" customFormat="false" ht="15" hidden="false" customHeight="false" outlineLevel="0" collapsed="false">
      <c r="A157" s="27" t="s">
        <v>2171</v>
      </c>
      <c r="B157" s="63" t="s">
        <v>2161</v>
      </c>
      <c r="C157" s="66" t="n">
        <f aca="false">SUM(E157:P157)</f>
        <v>49436</v>
      </c>
      <c r="E157" s="115" t="n">
        <v>0</v>
      </c>
      <c r="F157" s="115" t="n">
        <v>6460</v>
      </c>
      <c r="G157" s="115" t="n">
        <v>8024</v>
      </c>
      <c r="H157" s="115" t="n">
        <v>7616</v>
      </c>
      <c r="I157" s="115" t="n">
        <v>7480</v>
      </c>
      <c r="J157" s="115" t="n">
        <v>7888</v>
      </c>
      <c r="K157" s="115" t="n">
        <v>7072</v>
      </c>
      <c r="L157" s="115" t="n">
        <v>4896</v>
      </c>
    </row>
    <row r="158" customFormat="false" ht="15" hidden="false" customHeight="false" outlineLevel="0" collapsed="false">
      <c r="A158" s="27" t="s">
        <v>2172</v>
      </c>
      <c r="B158" s="63" t="s">
        <v>2081</v>
      </c>
      <c r="C158" s="66" t="n">
        <f aca="false">SUM(E158:P158)</f>
        <v>49436</v>
      </c>
      <c r="E158" s="115" t="n">
        <v>0</v>
      </c>
      <c r="F158" s="115" t="n">
        <v>6460</v>
      </c>
      <c r="G158" s="115" t="n">
        <v>8024</v>
      </c>
      <c r="H158" s="115" t="n">
        <v>7616</v>
      </c>
      <c r="I158" s="115" t="n">
        <v>7480</v>
      </c>
      <c r="J158" s="115" t="n">
        <v>7888</v>
      </c>
      <c r="K158" s="115" t="n">
        <v>7072</v>
      </c>
      <c r="L158" s="115" t="n">
        <v>4896</v>
      </c>
    </row>
    <row r="159" customFormat="false" ht="15" hidden="false" customHeight="false" outlineLevel="0" collapsed="false">
      <c r="A159" s="27" t="s">
        <v>2173</v>
      </c>
      <c r="B159" s="63" t="s">
        <v>2164</v>
      </c>
      <c r="C159" s="66" t="n">
        <f aca="false">P159</f>
        <v>0</v>
      </c>
      <c r="E159" s="115" t="n">
        <v>0</v>
      </c>
      <c r="F159" s="115" t="n">
        <v>0</v>
      </c>
      <c r="G159" s="115" t="n">
        <v>0</v>
      </c>
      <c r="H159" s="115" t="n">
        <v>0</v>
      </c>
      <c r="I159" s="115" t="n">
        <v>0</v>
      </c>
      <c r="J159" s="115" t="n">
        <v>0</v>
      </c>
      <c r="K159" s="115" t="n">
        <v>0</v>
      </c>
      <c r="L159" s="115" t="n">
        <v>0</v>
      </c>
    </row>
    <row r="160" customFormat="false" ht="15" hidden="false" customHeight="false" outlineLevel="0" collapsed="false">
      <c r="A160" s="27" t="s">
        <v>2174</v>
      </c>
      <c r="B160" s="63" t="s">
        <v>2161</v>
      </c>
      <c r="C160" s="66" t="n">
        <f aca="false">SUM(E160:P160)</f>
        <v>64440</v>
      </c>
      <c r="E160" s="115" t="n">
        <v>7920</v>
      </c>
      <c r="F160" s="115" t="n">
        <v>8400</v>
      </c>
      <c r="G160" s="115" t="n">
        <v>8760</v>
      </c>
      <c r="H160" s="115" t="n">
        <v>8280</v>
      </c>
      <c r="I160" s="115" t="n">
        <v>8520</v>
      </c>
      <c r="J160" s="115" t="n">
        <v>8640</v>
      </c>
      <c r="K160" s="115" t="n">
        <v>8160</v>
      </c>
      <c r="L160" s="115" t="n">
        <v>5760</v>
      </c>
    </row>
    <row r="161" customFormat="false" ht="15" hidden="false" customHeight="false" outlineLevel="0" collapsed="false">
      <c r="A161" s="27" t="s">
        <v>2175</v>
      </c>
      <c r="B161" s="63" t="s">
        <v>2081</v>
      </c>
      <c r="C161" s="66" t="n">
        <f aca="false">SUM(E161:P161)</f>
        <v>64440</v>
      </c>
      <c r="E161" s="115" t="n">
        <v>7920</v>
      </c>
      <c r="F161" s="115" t="n">
        <v>8400</v>
      </c>
      <c r="G161" s="115" t="n">
        <v>8760</v>
      </c>
      <c r="H161" s="115" t="n">
        <v>8280</v>
      </c>
      <c r="I161" s="115" t="n">
        <v>8520</v>
      </c>
      <c r="J161" s="115" t="n">
        <v>8640</v>
      </c>
      <c r="K161" s="115" t="n">
        <v>8160</v>
      </c>
      <c r="L161" s="115" t="n">
        <v>5760</v>
      </c>
    </row>
    <row r="162" customFormat="false" ht="15" hidden="false" customHeight="false" outlineLevel="0" collapsed="false">
      <c r="A162" s="27" t="s">
        <v>2176</v>
      </c>
      <c r="B162" s="63" t="s">
        <v>2164</v>
      </c>
      <c r="C162" s="66" t="n">
        <f aca="false">P162</f>
        <v>0</v>
      </c>
      <c r="E162" s="115" t="n">
        <v>0</v>
      </c>
      <c r="F162" s="115" t="n">
        <v>0</v>
      </c>
      <c r="G162" s="115" t="n">
        <v>0</v>
      </c>
      <c r="H162" s="115" t="n">
        <v>0</v>
      </c>
      <c r="I162" s="115" t="n">
        <v>0</v>
      </c>
      <c r="J162" s="115" t="n">
        <v>0</v>
      </c>
      <c r="K162" s="115" t="n">
        <v>0</v>
      </c>
      <c r="L162" s="115" t="n">
        <v>0</v>
      </c>
    </row>
    <row r="163" customFormat="false" ht="15" hidden="false" customHeight="false" outlineLevel="0" collapsed="false">
      <c r="A163" s="27" t="s">
        <v>2177</v>
      </c>
      <c r="B163" s="63" t="s">
        <v>2161</v>
      </c>
      <c r="C163" s="66" t="n">
        <f aca="false">SUM(E163:P163)</f>
        <v>32000</v>
      </c>
      <c r="E163" s="115" t="n">
        <v>0</v>
      </c>
      <c r="F163" s="115" t="n">
        <v>0</v>
      </c>
      <c r="G163" s="115" t="n">
        <v>9600</v>
      </c>
      <c r="H163" s="115" t="n">
        <v>12800</v>
      </c>
      <c r="I163" s="115" t="n">
        <v>9600</v>
      </c>
      <c r="J163" s="115" t="n">
        <v>0</v>
      </c>
      <c r="K163" s="115" t="n">
        <v>0</v>
      </c>
      <c r="L163" s="115" t="n">
        <v>0</v>
      </c>
    </row>
    <row r="164" customFormat="false" ht="15" hidden="false" customHeight="false" outlineLevel="0" collapsed="false">
      <c r="A164" s="27" t="s">
        <v>2178</v>
      </c>
      <c r="B164" s="63" t="s">
        <v>2081</v>
      </c>
      <c r="C164" s="66" t="n">
        <f aca="false">SUM(E164:P164)</f>
        <v>32000</v>
      </c>
      <c r="E164" s="115" t="n">
        <v>0</v>
      </c>
      <c r="F164" s="115" t="n">
        <v>0</v>
      </c>
      <c r="G164" s="115" t="n">
        <v>9600</v>
      </c>
      <c r="H164" s="115" t="n">
        <v>12800</v>
      </c>
      <c r="I164" s="115" t="n">
        <v>9600</v>
      </c>
      <c r="J164" s="115" t="n">
        <v>0</v>
      </c>
      <c r="K164" s="115" t="n">
        <v>0</v>
      </c>
      <c r="L164" s="115" t="n">
        <v>0</v>
      </c>
    </row>
    <row r="165" customFormat="false" ht="15" hidden="false" customHeight="false" outlineLevel="0" collapsed="false">
      <c r="A165" s="27" t="s">
        <v>2179</v>
      </c>
      <c r="B165" s="63" t="s">
        <v>2164</v>
      </c>
      <c r="C165" s="66" t="n">
        <f aca="false">P165</f>
        <v>0</v>
      </c>
      <c r="E165" s="115" t="n">
        <v>0</v>
      </c>
      <c r="F165" s="115" t="n">
        <v>0</v>
      </c>
      <c r="G165" s="115" t="n">
        <v>0</v>
      </c>
      <c r="H165" s="115" t="n">
        <v>0</v>
      </c>
      <c r="I165" s="115" t="n">
        <v>0</v>
      </c>
      <c r="J165" s="115" t="n">
        <v>0</v>
      </c>
      <c r="K165" s="115" t="n">
        <v>0</v>
      </c>
      <c r="L165" s="115" t="n">
        <v>0</v>
      </c>
    </row>
    <row r="166" customFormat="false" ht="15" hidden="false" customHeight="false" outlineLevel="0" collapsed="false">
      <c r="A166" s="27" t="s">
        <v>2180</v>
      </c>
      <c r="B166" s="63" t="s">
        <v>2161</v>
      </c>
      <c r="C166" s="66" t="n">
        <f aca="false">SUM(E166:P166)</f>
        <v>25063.83</v>
      </c>
      <c r="E166" s="115" t="n">
        <v>0</v>
      </c>
      <c r="F166" s="115" t="n">
        <v>0</v>
      </c>
      <c r="G166" s="115" t="n">
        <v>0</v>
      </c>
      <c r="H166" s="115" t="n">
        <v>0</v>
      </c>
      <c r="I166" s="115" t="n">
        <v>0</v>
      </c>
      <c r="J166" s="115" t="n">
        <v>7680.85</v>
      </c>
      <c r="K166" s="115" t="n">
        <v>10510.64</v>
      </c>
      <c r="L166" s="115" t="n">
        <v>6872.34</v>
      </c>
    </row>
    <row r="167" customFormat="false" ht="15" hidden="false" customHeight="false" outlineLevel="0" collapsed="false">
      <c r="A167" s="27" t="s">
        <v>2181</v>
      </c>
      <c r="B167" s="63" t="s">
        <v>2081</v>
      </c>
      <c r="C167" s="66" t="n">
        <f aca="false">SUM(E167:P167)</f>
        <v>26600</v>
      </c>
      <c r="E167" s="115" t="n">
        <v>0</v>
      </c>
      <c r="F167" s="115" t="n">
        <v>0</v>
      </c>
      <c r="G167" s="115" t="n">
        <v>0</v>
      </c>
      <c r="H167" s="115" t="n">
        <v>0</v>
      </c>
      <c r="I167" s="115" t="n">
        <v>0</v>
      </c>
      <c r="J167" s="115" t="n">
        <v>11400</v>
      </c>
      <c r="K167" s="115" t="n">
        <v>0</v>
      </c>
      <c r="L167" s="115" t="n">
        <v>15200</v>
      </c>
    </row>
    <row r="168" customFormat="false" ht="15" hidden="false" customHeight="false" outlineLevel="0" collapsed="false">
      <c r="A168" s="27" t="s">
        <v>2182</v>
      </c>
      <c r="B168" s="63" t="s">
        <v>2164</v>
      </c>
      <c r="C168" s="66" t="n">
        <f aca="false">P168</f>
        <v>0</v>
      </c>
      <c r="E168" s="115" t="n">
        <v>0</v>
      </c>
      <c r="F168" s="115" t="n">
        <v>0</v>
      </c>
      <c r="G168" s="115" t="n">
        <v>0</v>
      </c>
      <c r="H168" s="115" t="n">
        <v>0</v>
      </c>
      <c r="I168" s="115" t="n">
        <v>0</v>
      </c>
      <c r="J168" s="115" t="n">
        <v>0</v>
      </c>
      <c r="K168" s="115" t="n">
        <v>0</v>
      </c>
      <c r="L168" s="115" t="n">
        <v>0</v>
      </c>
    </row>
    <row r="169" customFormat="false" ht="15" hidden="false" customHeight="false" outlineLevel="0" collapsed="false">
      <c r="A169" s="27" t="s">
        <v>2183</v>
      </c>
      <c r="B169" s="63" t="s">
        <v>2161</v>
      </c>
      <c r="C169" s="66" t="n">
        <f aca="false">SUM(E169:P169)</f>
        <v>0</v>
      </c>
      <c r="E169" s="115" t="n">
        <v>0</v>
      </c>
      <c r="F169" s="115" t="n">
        <v>0</v>
      </c>
      <c r="G169" s="115" t="n">
        <v>0</v>
      </c>
      <c r="H169" s="115" t="n">
        <v>0</v>
      </c>
      <c r="I169" s="115" t="n">
        <v>0</v>
      </c>
      <c r="J169" s="115" t="n">
        <v>0</v>
      </c>
      <c r="K169" s="115" t="n">
        <v>0</v>
      </c>
      <c r="L169" s="115" t="n">
        <v>0</v>
      </c>
    </row>
    <row r="170" customFormat="false" ht="15" hidden="false" customHeight="false" outlineLevel="0" collapsed="false">
      <c r="A170" s="27" t="s">
        <v>2184</v>
      </c>
      <c r="B170" s="63" t="s">
        <v>2081</v>
      </c>
      <c r="C170" s="66" t="n">
        <f aca="false">SUM(E170:P170)</f>
        <v>0</v>
      </c>
      <c r="E170" s="115" t="n">
        <v>0</v>
      </c>
      <c r="F170" s="115" t="n">
        <v>0</v>
      </c>
      <c r="G170" s="115" t="n">
        <v>0</v>
      </c>
      <c r="H170" s="115" t="n">
        <v>0</v>
      </c>
      <c r="I170" s="115" t="n">
        <v>0</v>
      </c>
      <c r="J170" s="115" t="n">
        <v>0</v>
      </c>
      <c r="K170" s="115" t="n">
        <v>0</v>
      </c>
      <c r="L170" s="115" t="n">
        <v>0</v>
      </c>
    </row>
    <row r="171" customFormat="false" ht="15" hidden="false" customHeight="false" outlineLevel="0" collapsed="false">
      <c r="A171" s="27" t="s">
        <v>2185</v>
      </c>
      <c r="B171" s="63" t="s">
        <v>2164</v>
      </c>
      <c r="C171" s="66" t="n">
        <f aca="false">P171</f>
        <v>0</v>
      </c>
      <c r="E171" s="115" t="n">
        <v>0</v>
      </c>
      <c r="F171" s="115" t="n">
        <v>0</v>
      </c>
      <c r="G171" s="115" t="n">
        <v>0</v>
      </c>
      <c r="H171" s="115" t="n">
        <v>0</v>
      </c>
      <c r="I171" s="115" t="n">
        <v>0</v>
      </c>
      <c r="J171" s="115" t="n">
        <v>0</v>
      </c>
      <c r="K171" s="115" t="n">
        <v>0</v>
      </c>
      <c r="L171" s="115" t="n">
        <v>0</v>
      </c>
    </row>
    <row r="172" customFormat="false" ht="15" hidden="false" customHeight="false" outlineLevel="0" collapsed="false">
      <c r="A172" s="27" t="s">
        <v>2186</v>
      </c>
      <c r="B172" s="63" t="s">
        <v>2161</v>
      </c>
      <c r="C172" s="66" t="n">
        <f aca="false">SUM(E172:P172)</f>
        <v>39744</v>
      </c>
      <c r="E172" s="115" t="n">
        <v>4992</v>
      </c>
      <c r="F172" s="115" t="n">
        <v>5248</v>
      </c>
      <c r="G172" s="115" t="n">
        <v>5120</v>
      </c>
      <c r="H172" s="115" t="n">
        <v>5056</v>
      </c>
      <c r="I172" s="115" t="n">
        <v>5184</v>
      </c>
      <c r="J172" s="115" t="n">
        <v>5312</v>
      </c>
      <c r="K172" s="115" t="n">
        <v>5120</v>
      </c>
      <c r="L172" s="115" t="n">
        <v>3712</v>
      </c>
    </row>
    <row r="173" customFormat="false" ht="15" hidden="false" customHeight="false" outlineLevel="0" collapsed="false">
      <c r="A173" s="27" t="s">
        <v>2187</v>
      </c>
      <c r="B173" s="63" t="s">
        <v>2081</v>
      </c>
      <c r="C173" s="66" t="n">
        <f aca="false">SUM(E173:P173)</f>
        <v>39744</v>
      </c>
      <c r="E173" s="115" t="n">
        <v>4992</v>
      </c>
      <c r="F173" s="115" t="n">
        <v>5248</v>
      </c>
      <c r="G173" s="115" t="n">
        <v>5120</v>
      </c>
      <c r="H173" s="115" t="n">
        <v>5056</v>
      </c>
      <c r="I173" s="115" t="n">
        <v>5184</v>
      </c>
      <c r="J173" s="115" t="n">
        <v>5312</v>
      </c>
      <c r="K173" s="115" t="n">
        <v>5120</v>
      </c>
      <c r="L173" s="115" t="n">
        <v>3712</v>
      </c>
    </row>
    <row r="174" customFormat="false" ht="15" hidden="false" customHeight="false" outlineLevel="0" collapsed="false">
      <c r="A174" s="27" t="s">
        <v>2188</v>
      </c>
      <c r="B174" s="63" t="s">
        <v>2164</v>
      </c>
      <c r="C174" s="66" t="n">
        <f aca="false">P174</f>
        <v>0</v>
      </c>
      <c r="E174" s="115" t="n">
        <v>0</v>
      </c>
      <c r="F174" s="115" t="n">
        <v>0</v>
      </c>
      <c r="G174" s="115" t="n">
        <v>0</v>
      </c>
      <c r="H174" s="115" t="n">
        <v>0</v>
      </c>
      <c r="I174" s="115" t="n">
        <v>0</v>
      </c>
      <c r="J174" s="115" t="n">
        <v>0</v>
      </c>
      <c r="K174" s="115" t="n">
        <v>0</v>
      </c>
      <c r="L174" s="115" t="n">
        <v>0</v>
      </c>
    </row>
    <row r="175" customFormat="false" ht="15" hidden="false" customHeight="false" outlineLevel="0" collapsed="false">
      <c r="A175" s="27" t="s">
        <v>2189</v>
      </c>
      <c r="B175" s="63" t="s">
        <v>2161</v>
      </c>
      <c r="C175" s="66" t="n">
        <f aca="false">SUM(E175:P175)</f>
        <v>18000</v>
      </c>
      <c r="E175" s="115" t="n">
        <v>0</v>
      </c>
      <c r="F175" s="115" t="n">
        <v>0</v>
      </c>
      <c r="G175" s="115" t="n">
        <v>0</v>
      </c>
      <c r="H175" s="115" t="n">
        <v>0</v>
      </c>
      <c r="I175" s="115" t="n">
        <v>0</v>
      </c>
      <c r="J175" s="115" t="n">
        <v>0</v>
      </c>
      <c r="K175" s="115" t="n">
        <v>10400</v>
      </c>
      <c r="L175" s="115" t="n">
        <v>7600</v>
      </c>
    </row>
    <row r="176" customFormat="false" ht="15" hidden="false" customHeight="false" outlineLevel="0" collapsed="false">
      <c r="A176" s="27" t="s">
        <v>2190</v>
      </c>
      <c r="B176" s="63" t="s">
        <v>2081</v>
      </c>
      <c r="C176" s="66" t="n">
        <f aca="false">SUM(E176:P176)</f>
        <v>25200</v>
      </c>
      <c r="E176" s="115" t="n">
        <v>0</v>
      </c>
      <c r="F176" s="115" t="n">
        <v>0</v>
      </c>
      <c r="G176" s="115" t="n">
        <v>0</v>
      </c>
      <c r="H176" s="115" t="n">
        <v>0</v>
      </c>
      <c r="I176" s="115" t="n">
        <v>0</v>
      </c>
      <c r="J176" s="115" t="n">
        <v>0</v>
      </c>
      <c r="K176" s="115" t="n">
        <v>10800</v>
      </c>
      <c r="L176" s="115" t="n">
        <v>14400</v>
      </c>
    </row>
    <row r="177" customFormat="false" ht="15" hidden="false" customHeight="false" outlineLevel="0" collapsed="false">
      <c r="A177" s="27" t="s">
        <v>2191</v>
      </c>
      <c r="B177" s="63" t="s">
        <v>2164</v>
      </c>
      <c r="C177" s="66" t="n">
        <f aca="false">P177</f>
        <v>0</v>
      </c>
      <c r="E177" s="115" t="n">
        <v>0</v>
      </c>
      <c r="F177" s="115" t="n">
        <v>0</v>
      </c>
      <c r="G177" s="115" t="n">
        <v>0</v>
      </c>
      <c r="H177" s="115" t="n">
        <v>0</v>
      </c>
      <c r="I177" s="115" t="n">
        <v>0</v>
      </c>
      <c r="J177" s="115" t="n">
        <v>0</v>
      </c>
      <c r="K177" s="115" t="n">
        <v>0</v>
      </c>
      <c r="L177" s="115" t="n">
        <v>0</v>
      </c>
    </row>
    <row r="178" customFormat="false" ht="15" hidden="false" customHeight="false" outlineLevel="0" collapsed="false">
      <c r="A178" s="27" t="s">
        <v>2192</v>
      </c>
      <c r="B178" s="63" t="s">
        <v>2161</v>
      </c>
      <c r="C178" s="66" t="n">
        <f aca="false">SUM(E178:P178)</f>
        <v>72000</v>
      </c>
      <c r="E178" s="115" t="n">
        <v>9818.18</v>
      </c>
      <c r="F178" s="115" t="n">
        <v>13090.91</v>
      </c>
      <c r="G178" s="115" t="n">
        <v>13909.09</v>
      </c>
      <c r="H178" s="115" t="n">
        <v>13090.91</v>
      </c>
      <c r="I178" s="115" t="n">
        <v>12272.73</v>
      </c>
      <c r="J178" s="115" t="n">
        <v>9818.18</v>
      </c>
      <c r="K178" s="115" t="n">
        <v>0</v>
      </c>
      <c r="L178" s="115" t="n">
        <v>0</v>
      </c>
    </row>
    <row r="179" customFormat="false" ht="15" hidden="false" customHeight="false" outlineLevel="0" collapsed="false">
      <c r="A179" s="27" t="s">
        <v>2193</v>
      </c>
      <c r="B179" s="63" t="s">
        <v>2081</v>
      </c>
      <c r="C179" s="66" t="n">
        <f aca="false">SUM(E179:P179)</f>
        <v>72000</v>
      </c>
      <c r="E179" s="115" t="n">
        <v>21600</v>
      </c>
      <c r="F179" s="115" t="n">
        <v>0</v>
      </c>
      <c r="G179" s="115" t="n">
        <v>28800</v>
      </c>
      <c r="H179" s="115" t="n">
        <v>0</v>
      </c>
      <c r="I179" s="115" t="n">
        <v>0</v>
      </c>
      <c r="J179" s="115" t="n">
        <v>21600</v>
      </c>
      <c r="K179" s="115" t="n">
        <v>0</v>
      </c>
      <c r="L179" s="115" t="n">
        <v>0</v>
      </c>
    </row>
    <row r="180" customFormat="false" ht="15" hidden="false" customHeight="false" outlineLevel="0" collapsed="false">
      <c r="A180" s="27" t="s">
        <v>2194</v>
      </c>
      <c r="B180" s="63" t="s">
        <v>2164</v>
      </c>
      <c r="C180" s="66" t="n">
        <f aca="false">P180</f>
        <v>0</v>
      </c>
      <c r="E180" s="115" t="n">
        <v>0</v>
      </c>
      <c r="F180" s="115" t="n">
        <v>0</v>
      </c>
      <c r="G180" s="115" t="n">
        <v>0</v>
      </c>
      <c r="H180" s="115" t="n">
        <v>0</v>
      </c>
      <c r="I180" s="115" t="n">
        <v>0</v>
      </c>
      <c r="J180" s="115" t="n">
        <v>0</v>
      </c>
      <c r="K180" s="115" t="n">
        <v>0</v>
      </c>
      <c r="L180" s="115" t="n">
        <v>0</v>
      </c>
    </row>
    <row r="181" customFormat="false" ht="15" hidden="false" customHeight="false" outlineLevel="0" collapsed="false">
      <c r="A181" s="27" t="s">
        <v>2195</v>
      </c>
      <c r="B181" s="63" t="s">
        <v>2161</v>
      </c>
      <c r="C181" s="66" t="n">
        <f aca="false">SUM(E181:P181)</f>
        <v>24000</v>
      </c>
      <c r="E181" s="115" t="n">
        <v>0</v>
      </c>
      <c r="F181" s="115" t="n">
        <v>0</v>
      </c>
      <c r="G181" s="115" t="n">
        <v>0</v>
      </c>
      <c r="H181" s="115" t="n">
        <v>0</v>
      </c>
      <c r="I181" s="115" t="n">
        <v>7200</v>
      </c>
      <c r="J181" s="115" t="n">
        <v>9600</v>
      </c>
      <c r="K181" s="115" t="n">
        <v>7200</v>
      </c>
      <c r="L181" s="115" t="n">
        <v>0</v>
      </c>
    </row>
    <row r="182" customFormat="false" ht="15" hidden="false" customHeight="false" outlineLevel="0" collapsed="false">
      <c r="A182" s="27" t="s">
        <v>2196</v>
      </c>
      <c r="B182" s="63" t="s">
        <v>2081</v>
      </c>
      <c r="C182" s="66" t="n">
        <f aca="false">SUM(E182:P182)</f>
        <v>24000</v>
      </c>
      <c r="E182" s="115" t="n">
        <v>0</v>
      </c>
      <c r="F182" s="115" t="n">
        <v>0</v>
      </c>
      <c r="G182" s="115" t="n">
        <v>0</v>
      </c>
      <c r="H182" s="115" t="n">
        <v>0</v>
      </c>
      <c r="I182" s="115" t="n">
        <v>7200</v>
      </c>
      <c r="J182" s="115" t="n">
        <v>9600</v>
      </c>
      <c r="K182" s="115" t="n">
        <v>7200</v>
      </c>
      <c r="L182" s="115" t="n">
        <v>0</v>
      </c>
    </row>
    <row r="183" customFormat="false" ht="15" hidden="false" customHeight="false" outlineLevel="0" collapsed="false">
      <c r="A183" s="27" t="s">
        <v>2197</v>
      </c>
      <c r="B183" s="63" t="s">
        <v>2164</v>
      </c>
      <c r="C183" s="66" t="n">
        <f aca="false">P183</f>
        <v>0</v>
      </c>
      <c r="E183" s="115" t="n">
        <v>0</v>
      </c>
      <c r="F183" s="115" t="n">
        <v>0</v>
      </c>
      <c r="G183" s="115" t="n">
        <v>0</v>
      </c>
      <c r="H183" s="115" t="n">
        <v>0</v>
      </c>
      <c r="I183" s="115" t="n">
        <v>0</v>
      </c>
      <c r="J183" s="115" t="n">
        <v>0</v>
      </c>
      <c r="K183" s="115" t="n">
        <v>0</v>
      </c>
      <c r="L183" s="115" t="n">
        <v>0</v>
      </c>
    </row>
    <row r="184" customFormat="false" ht="15" hidden="false" customHeight="false" outlineLevel="0" collapsed="false">
      <c r="A184" s="21" t="s">
        <v>2198</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row>
    <row r="185" customFormat="false" ht="15" hidden="false" customHeight="false" outlineLevel="0" collapsed="false">
      <c r="A185" s="27" t="s">
        <v>1158</v>
      </c>
      <c r="B185" s="63" t="s">
        <v>2199</v>
      </c>
      <c r="C185" s="66" t="n">
        <f aca="false">SUM(E185:P185)</f>
        <v>509800</v>
      </c>
      <c r="E185" s="115" t="n">
        <v>66650</v>
      </c>
      <c r="F185" s="115" t="n">
        <v>66650</v>
      </c>
      <c r="G185" s="115" t="n">
        <v>65350</v>
      </c>
      <c r="H185" s="115" t="n">
        <v>63700</v>
      </c>
      <c r="I185" s="115" t="n">
        <v>62050</v>
      </c>
      <c r="J185" s="115" t="n">
        <v>61000</v>
      </c>
      <c r="K185" s="115" t="n">
        <v>62200</v>
      </c>
      <c r="L185" s="115" t="n">
        <v>62200</v>
      </c>
    </row>
    <row r="186" customFormat="false" ht="15" hidden="false" customHeight="false" outlineLevel="0" collapsed="false">
      <c r="A186" s="27" t="s">
        <v>1166</v>
      </c>
      <c r="B186" s="63" t="s">
        <v>2199</v>
      </c>
      <c r="C186" s="66" t="n">
        <f aca="false">SUM(E186:P186)</f>
        <v>61000</v>
      </c>
      <c r="E186" s="115" t="n">
        <v>0</v>
      </c>
      <c r="F186" s="115" t="n">
        <v>0</v>
      </c>
      <c r="G186" s="115" t="n">
        <v>0</v>
      </c>
      <c r="H186" s="115" t="n">
        <v>0</v>
      </c>
      <c r="I186" s="115" t="n">
        <v>0</v>
      </c>
      <c r="J186" s="115" t="n">
        <v>61000</v>
      </c>
      <c r="K186" s="115" t="n">
        <v>0</v>
      </c>
      <c r="L186" s="115" t="n">
        <v>0</v>
      </c>
    </row>
    <row r="187" customFormat="false" ht="15" hidden="false" customHeight="false" outlineLevel="0" collapsed="false">
      <c r="A187" s="27" t="s">
        <v>1168</v>
      </c>
      <c r="B187" s="63" t="s">
        <v>2199</v>
      </c>
      <c r="C187" s="66" t="n">
        <f aca="false">SUM(E187:P187)</f>
        <v>0</v>
      </c>
      <c r="E187" s="115" t="n">
        <v>0</v>
      </c>
      <c r="F187" s="115" t="n">
        <v>0</v>
      </c>
      <c r="G187" s="115" t="n">
        <v>0</v>
      </c>
      <c r="H187" s="115" t="n">
        <v>0</v>
      </c>
      <c r="I187" s="115" t="n">
        <v>0</v>
      </c>
      <c r="J187" s="115" t="n">
        <v>0</v>
      </c>
      <c r="K187" s="115" t="n">
        <v>0</v>
      </c>
      <c r="L187" s="115" t="n">
        <v>0</v>
      </c>
    </row>
    <row r="188" customFormat="false" ht="15" hidden="false" customHeight="false" outlineLevel="0" collapsed="false">
      <c r="A188" s="27" t="s">
        <v>2200</v>
      </c>
      <c r="B188" s="63" t="s">
        <v>2199</v>
      </c>
      <c r="C188" s="66" t="n">
        <f aca="false">SUM(E188:P188)</f>
        <v>135565.01</v>
      </c>
      <c r="E188" s="115" t="n">
        <v>15829.38</v>
      </c>
      <c r="F188" s="115" t="n">
        <v>15829.38</v>
      </c>
      <c r="G188" s="115" t="n">
        <v>15520.62</v>
      </c>
      <c r="H188" s="115" t="n">
        <v>15128.75</v>
      </c>
      <c r="I188" s="115" t="n">
        <v>14736.88</v>
      </c>
      <c r="J188" s="115" t="n">
        <v>28975</v>
      </c>
      <c r="K188" s="115" t="n">
        <v>14772.5</v>
      </c>
      <c r="L188" s="115" t="n">
        <v>14772.5</v>
      </c>
    </row>
    <row r="189" customFormat="false" ht="15" hidden="false" customHeight="false" outlineLevel="0" collapsed="false">
      <c r="A189" s="27" t="s">
        <v>2201</v>
      </c>
      <c r="B189" s="63" t="s">
        <v>2199</v>
      </c>
      <c r="C189" s="66" t="n">
        <f aca="false">SUM(E189:P189)</f>
        <v>62788</v>
      </c>
      <c r="E189" s="115" t="n">
        <v>7331.5</v>
      </c>
      <c r="F189" s="115" t="n">
        <v>7331.5</v>
      </c>
      <c r="G189" s="115" t="n">
        <v>7188.5</v>
      </c>
      <c r="H189" s="115" t="n">
        <v>7007</v>
      </c>
      <c r="I189" s="115" t="n">
        <v>6825.5</v>
      </c>
      <c r="J189" s="115" t="n">
        <v>13420</v>
      </c>
      <c r="K189" s="115" t="n">
        <v>6842</v>
      </c>
      <c r="L189" s="115" t="n">
        <v>6842</v>
      </c>
    </row>
    <row r="190" customFormat="false" ht="15" hidden="false" customHeight="false" outlineLevel="0" collapsed="false">
      <c r="A190" s="27" t="s">
        <v>1175</v>
      </c>
      <c r="B190" s="63" t="s">
        <v>2199</v>
      </c>
      <c r="C190" s="66" t="n">
        <f aca="false">SUM(E190:P190)</f>
        <v>73156.89</v>
      </c>
      <c r="E190" s="115" t="n">
        <v>8583.08</v>
      </c>
      <c r="F190" s="115" t="n">
        <v>8583.08</v>
      </c>
      <c r="G190" s="115" t="n">
        <v>8463.11</v>
      </c>
      <c r="H190" s="115" t="n">
        <v>8258.79</v>
      </c>
      <c r="I190" s="115" t="n">
        <v>8054.47</v>
      </c>
      <c r="J190" s="115" t="n">
        <v>15510.96</v>
      </c>
      <c r="K190" s="115" t="n">
        <v>7851.7</v>
      </c>
      <c r="L190" s="115" t="n">
        <v>7851.7</v>
      </c>
    </row>
    <row r="191" customFormat="false" ht="15" hidden="false" customHeight="false" outlineLevel="0" collapsed="false">
      <c r="A191" s="27" t="s">
        <v>2202</v>
      </c>
      <c r="B191" s="63" t="s">
        <v>2199</v>
      </c>
      <c r="C191" s="66" t="n">
        <f aca="false">SUM(E191:P191)</f>
        <v>59783.2</v>
      </c>
      <c r="E191" s="115" t="n">
        <v>8249.2</v>
      </c>
      <c r="F191" s="115" t="n">
        <v>8159</v>
      </c>
      <c r="G191" s="115" t="n">
        <v>7960</v>
      </c>
      <c r="H191" s="115" t="n">
        <v>7417.8</v>
      </c>
      <c r="I191" s="115" t="n">
        <v>7478.4</v>
      </c>
      <c r="J191" s="115" t="n">
        <v>7227.6</v>
      </c>
      <c r="K191" s="115" t="n">
        <v>6988.8</v>
      </c>
      <c r="L191" s="115" t="n">
        <v>6302.4</v>
      </c>
    </row>
    <row r="192" customFormat="false" ht="15" hidden="false" customHeight="false" outlineLevel="0" collapsed="false">
      <c r="A192" s="27" t="s">
        <v>1179</v>
      </c>
      <c r="B192" s="63" t="s">
        <v>2199</v>
      </c>
      <c r="C192" s="66" t="n">
        <f aca="false">SUM(E192:P192)</f>
        <v>15432.91</v>
      </c>
      <c r="E192" s="115" t="n">
        <v>2011.83</v>
      </c>
      <c r="F192" s="115" t="n">
        <v>2011.83</v>
      </c>
      <c r="G192" s="115" t="n">
        <v>1966.17</v>
      </c>
      <c r="H192" s="115" t="n">
        <v>1916.85</v>
      </c>
      <c r="I192" s="115" t="n">
        <v>1867.53</v>
      </c>
      <c r="J192" s="115" t="n">
        <v>1856.5</v>
      </c>
      <c r="K192" s="115" t="n">
        <v>1901.1</v>
      </c>
      <c r="L192" s="115" t="n">
        <v>1901.1</v>
      </c>
    </row>
    <row r="193" customFormat="false" ht="15" hidden="false" customHeight="false" outlineLevel="0" collapsed="false">
      <c r="A193" s="27" t="s">
        <v>1181</v>
      </c>
      <c r="B193" s="63" t="s">
        <v>2199</v>
      </c>
      <c r="C193" s="66" t="n">
        <f aca="false">SUM(E193:P193)</f>
        <v>434855.11</v>
      </c>
      <c r="E193" s="115" t="n">
        <v>50735.42</v>
      </c>
      <c r="F193" s="115" t="n">
        <v>50735.42</v>
      </c>
      <c r="G193" s="115" t="n">
        <v>49698.39</v>
      </c>
      <c r="H193" s="115" t="n">
        <v>48434.21</v>
      </c>
      <c r="I193" s="115" t="n">
        <v>47170.03</v>
      </c>
      <c r="J193" s="115" t="n">
        <v>93069.04</v>
      </c>
      <c r="K193" s="115" t="n">
        <v>47506.3</v>
      </c>
      <c r="L193" s="115" t="n">
        <v>47506.3</v>
      </c>
    </row>
    <row r="194" customFormat="false" ht="15" hidden="false" customHeight="false" outlineLevel="0" collapsed="false">
      <c r="A194" s="27" t="s">
        <v>1190</v>
      </c>
      <c r="B194" s="63" t="s">
        <v>2199</v>
      </c>
      <c r="C194" s="66" t="n">
        <f aca="false">SUM(E194:P194)</f>
        <v>232650</v>
      </c>
      <c r="E194" s="115" t="n">
        <v>27200</v>
      </c>
      <c r="F194" s="115" t="n">
        <v>29350</v>
      </c>
      <c r="G194" s="115" t="n">
        <v>29350</v>
      </c>
      <c r="H194" s="115" t="n">
        <v>29350</v>
      </c>
      <c r="I194" s="115" t="n">
        <v>29350</v>
      </c>
      <c r="J194" s="115" t="n">
        <v>29350</v>
      </c>
      <c r="K194" s="115" t="n">
        <v>29350</v>
      </c>
      <c r="L194" s="115" t="n">
        <v>29350</v>
      </c>
    </row>
    <row r="195" customFormat="false" ht="15" hidden="false" customHeight="false" outlineLevel="0" collapsed="false">
      <c r="A195" s="27" t="s">
        <v>1194</v>
      </c>
      <c r="B195" s="63" t="s">
        <v>2199</v>
      </c>
      <c r="C195" s="66" t="n">
        <f aca="false">SUM(E195:P195)</f>
        <v>29350</v>
      </c>
      <c r="E195" s="115" t="n">
        <v>0</v>
      </c>
      <c r="F195" s="115" t="n">
        <v>0</v>
      </c>
      <c r="G195" s="115" t="n">
        <v>0</v>
      </c>
      <c r="H195" s="115" t="n">
        <v>0</v>
      </c>
      <c r="I195" s="115" t="n">
        <v>0</v>
      </c>
      <c r="J195" s="115" t="n">
        <v>29350</v>
      </c>
      <c r="K195" s="115" t="n">
        <v>0</v>
      </c>
      <c r="L195" s="115" t="n">
        <v>0</v>
      </c>
    </row>
    <row r="196" customFormat="false" ht="15" hidden="false" customHeight="false" outlineLevel="0" collapsed="false">
      <c r="A196" s="27" t="s">
        <v>1195</v>
      </c>
      <c r="B196" s="63" t="s">
        <v>2199</v>
      </c>
      <c r="C196" s="66" t="n">
        <f aca="false">SUM(E196:P196)</f>
        <v>0</v>
      </c>
      <c r="E196" s="115" t="n">
        <v>0</v>
      </c>
      <c r="F196" s="115" t="n">
        <v>0</v>
      </c>
      <c r="G196" s="115" t="n">
        <v>0</v>
      </c>
      <c r="H196" s="115" t="n">
        <v>0</v>
      </c>
      <c r="I196" s="115" t="n">
        <v>0</v>
      </c>
      <c r="J196" s="115" t="n">
        <v>0</v>
      </c>
      <c r="K196" s="115" t="n">
        <v>0</v>
      </c>
      <c r="L196" s="115" t="n">
        <v>0</v>
      </c>
    </row>
    <row r="197" customFormat="false" ht="15" hidden="false" customHeight="false" outlineLevel="0" collapsed="false">
      <c r="A197" s="27" t="s">
        <v>2203</v>
      </c>
      <c r="B197" s="63" t="s">
        <v>2199</v>
      </c>
      <c r="C197" s="66" t="n">
        <f aca="false">SUM(E197:P197)</f>
        <v>62224.97</v>
      </c>
      <c r="E197" s="115" t="n">
        <v>6460</v>
      </c>
      <c r="F197" s="115" t="n">
        <v>6970.62</v>
      </c>
      <c r="G197" s="115" t="n">
        <v>6970.62</v>
      </c>
      <c r="H197" s="115" t="n">
        <v>6970.62</v>
      </c>
      <c r="I197" s="115" t="n">
        <v>6970.62</v>
      </c>
      <c r="J197" s="115" t="n">
        <v>13941.25</v>
      </c>
      <c r="K197" s="115" t="n">
        <v>6970.62</v>
      </c>
      <c r="L197" s="115" t="n">
        <v>6970.62</v>
      </c>
    </row>
    <row r="198" customFormat="false" ht="15" hidden="false" customHeight="false" outlineLevel="0" collapsed="false">
      <c r="A198" s="27" t="s">
        <v>2204</v>
      </c>
      <c r="B198" s="63" t="s">
        <v>2199</v>
      </c>
      <c r="C198" s="66" t="n">
        <f aca="false">SUM(E198:P198)</f>
        <v>28820</v>
      </c>
      <c r="E198" s="115" t="n">
        <v>2992</v>
      </c>
      <c r="F198" s="115" t="n">
        <v>3228.5</v>
      </c>
      <c r="G198" s="115" t="n">
        <v>3228.5</v>
      </c>
      <c r="H198" s="115" t="n">
        <v>3228.5</v>
      </c>
      <c r="I198" s="115" t="n">
        <v>3228.5</v>
      </c>
      <c r="J198" s="115" t="n">
        <v>6457</v>
      </c>
      <c r="K198" s="115" t="n">
        <v>3228.5</v>
      </c>
      <c r="L198" s="115" t="n">
        <v>3228.5</v>
      </c>
    </row>
    <row r="199" customFormat="false" ht="15" hidden="false" customHeight="false" outlineLevel="0" collapsed="false">
      <c r="A199" s="27" t="s">
        <v>1199</v>
      </c>
      <c r="B199" s="63" t="s">
        <v>2199</v>
      </c>
      <c r="C199" s="66" t="n">
        <f aca="false">SUM(E199:P199)</f>
        <v>45118.48</v>
      </c>
      <c r="E199" s="115" t="n">
        <v>4702.8</v>
      </c>
      <c r="F199" s="115" t="n">
        <v>5051.96</v>
      </c>
      <c r="G199" s="115" t="n">
        <v>5051.96</v>
      </c>
      <c r="H199" s="115" t="n">
        <v>5051.96</v>
      </c>
      <c r="I199" s="115" t="n">
        <v>5051.96</v>
      </c>
      <c r="J199" s="115" t="n">
        <v>10103.92</v>
      </c>
      <c r="K199" s="115" t="n">
        <v>5051.96</v>
      </c>
      <c r="L199" s="115" t="n">
        <v>5051.96</v>
      </c>
    </row>
    <row r="200" customFormat="false" ht="15" hidden="false" customHeight="false" outlineLevel="0" collapsed="false">
      <c r="A200" s="27" t="s">
        <v>2205</v>
      </c>
      <c r="B200" s="63" t="s">
        <v>2199</v>
      </c>
      <c r="C200" s="66" t="n">
        <f aca="false">SUM(E200:P200)</f>
        <v>19522.4</v>
      </c>
      <c r="E200" s="115" t="n">
        <v>2414.4</v>
      </c>
      <c r="F200" s="115" t="n">
        <v>2587</v>
      </c>
      <c r="G200" s="115" t="n">
        <v>2587</v>
      </c>
      <c r="H200" s="115" t="n">
        <v>2472.6</v>
      </c>
      <c r="I200" s="115" t="n">
        <v>2558.4</v>
      </c>
      <c r="J200" s="115" t="n">
        <v>2472.6</v>
      </c>
      <c r="K200" s="115" t="n">
        <v>2329.6</v>
      </c>
      <c r="L200" s="115" t="n">
        <v>2100.8</v>
      </c>
    </row>
    <row r="201" customFormat="false" ht="15" hidden="false" customHeight="false" outlineLevel="0" collapsed="false">
      <c r="A201" s="27" t="s">
        <v>1201</v>
      </c>
      <c r="B201" s="63" t="s">
        <v>2199</v>
      </c>
      <c r="C201" s="66" t="n">
        <f aca="false">SUM(E201:P201)</f>
        <v>5738.86</v>
      </c>
      <c r="E201" s="115" t="n">
        <v>669.6</v>
      </c>
      <c r="F201" s="115" t="n">
        <v>724.18</v>
      </c>
      <c r="G201" s="115" t="n">
        <v>724.18</v>
      </c>
      <c r="H201" s="115" t="n">
        <v>724.18</v>
      </c>
      <c r="I201" s="115" t="n">
        <v>724.18</v>
      </c>
      <c r="J201" s="115" t="n">
        <v>724.18</v>
      </c>
      <c r="K201" s="115" t="n">
        <v>724.18</v>
      </c>
      <c r="L201" s="115" t="n">
        <v>724.18</v>
      </c>
    </row>
    <row r="202" customFormat="false" ht="15" hidden="false" customHeight="false" outlineLevel="0" collapsed="false">
      <c r="A202" s="27" t="s">
        <v>1202</v>
      </c>
      <c r="B202" s="63" t="s">
        <v>2199</v>
      </c>
      <c r="C202" s="66" t="n">
        <f aca="false">SUM(E202:P202)</f>
        <v>188061.52</v>
      </c>
      <c r="E202" s="115" t="n">
        <v>19505.2</v>
      </c>
      <c r="F202" s="115" t="n">
        <v>21069.54</v>
      </c>
      <c r="G202" s="115" t="n">
        <v>21069.54</v>
      </c>
      <c r="H202" s="115" t="n">
        <v>21069.54</v>
      </c>
      <c r="I202" s="115" t="n">
        <v>21069.54</v>
      </c>
      <c r="J202" s="115" t="n">
        <v>42139.08</v>
      </c>
      <c r="K202" s="115" t="n">
        <v>21069.54</v>
      </c>
      <c r="L202" s="115" t="n">
        <v>21069.54</v>
      </c>
    </row>
    <row r="203" customFormat="false" ht="15" hidden="false" customHeight="false" outlineLevel="0" collapsed="false">
      <c r="A203" s="27" t="s">
        <v>1207</v>
      </c>
      <c r="B203" s="63" t="s">
        <v>2199</v>
      </c>
      <c r="C203" s="66" t="n">
        <f aca="false">SUM(E203:P203)</f>
        <v>124000</v>
      </c>
      <c r="E203" s="115" t="n">
        <v>14000</v>
      </c>
      <c r="F203" s="115" t="n">
        <v>14000</v>
      </c>
      <c r="G203" s="115" t="n">
        <v>16000</v>
      </c>
      <c r="H203" s="115" t="n">
        <v>16000</v>
      </c>
      <c r="I203" s="115" t="n">
        <v>16000</v>
      </c>
      <c r="J203" s="115" t="n">
        <v>16000</v>
      </c>
      <c r="K203" s="115" t="n">
        <v>16000</v>
      </c>
      <c r="L203" s="115" t="n">
        <v>16000</v>
      </c>
    </row>
    <row r="204" customFormat="false" ht="15" hidden="false" customHeight="false" outlineLevel="0" collapsed="false">
      <c r="A204" s="27" t="s">
        <v>1211</v>
      </c>
      <c r="B204" s="63" t="s">
        <v>2199</v>
      </c>
      <c r="C204" s="66" t="n">
        <f aca="false">SUM(E204:P204)</f>
        <v>16000</v>
      </c>
      <c r="E204" s="115" t="n">
        <v>0</v>
      </c>
      <c r="F204" s="115" t="n">
        <v>0</v>
      </c>
      <c r="G204" s="115" t="n">
        <v>0</v>
      </c>
      <c r="H204" s="115" t="n">
        <v>0</v>
      </c>
      <c r="I204" s="115" t="n">
        <v>0</v>
      </c>
      <c r="J204" s="115" t="n">
        <v>16000</v>
      </c>
      <c r="K204" s="115" t="n">
        <v>0</v>
      </c>
      <c r="L204" s="115" t="n">
        <v>0</v>
      </c>
    </row>
    <row r="205" customFormat="false" ht="15" hidden="false" customHeight="false" outlineLevel="0" collapsed="false">
      <c r="A205" s="27" t="s">
        <v>1212</v>
      </c>
      <c r="B205" s="63" t="s">
        <v>2199</v>
      </c>
      <c r="C205" s="66" t="n">
        <f aca="false">SUM(E205:P205)</f>
        <v>0</v>
      </c>
      <c r="E205" s="115" t="n">
        <v>0</v>
      </c>
      <c r="F205" s="115" t="n">
        <v>0</v>
      </c>
      <c r="G205" s="115" t="n">
        <v>0</v>
      </c>
      <c r="H205" s="115" t="n">
        <v>0</v>
      </c>
      <c r="I205" s="115" t="n">
        <v>0</v>
      </c>
      <c r="J205" s="115" t="n">
        <v>0</v>
      </c>
      <c r="K205" s="115" t="n">
        <v>0</v>
      </c>
      <c r="L205" s="115" t="n">
        <v>0</v>
      </c>
    </row>
    <row r="206" customFormat="false" ht="15" hidden="false" customHeight="false" outlineLevel="0" collapsed="false">
      <c r="A206" s="27" t="s">
        <v>2206</v>
      </c>
      <c r="B206" s="63" t="s">
        <v>2199</v>
      </c>
      <c r="C206" s="66" t="n">
        <f aca="false">SUM(E206:P206)</f>
        <v>18144.9</v>
      </c>
      <c r="E206" s="115" t="n">
        <v>1104.84</v>
      </c>
      <c r="F206" s="115" t="n">
        <v>730.98</v>
      </c>
      <c r="G206" s="115" t="n">
        <v>762.39</v>
      </c>
      <c r="H206" s="115" t="n">
        <v>4644.48</v>
      </c>
      <c r="I206" s="115" t="n">
        <v>765.81</v>
      </c>
      <c r="J206" s="115" t="n">
        <v>3870.36</v>
      </c>
      <c r="K206" s="115" t="n">
        <v>899.64</v>
      </c>
      <c r="L206" s="115" t="n">
        <v>5366.4</v>
      </c>
    </row>
    <row r="207" customFormat="false" ht="15" hidden="false" customHeight="false" outlineLevel="0" collapsed="false">
      <c r="A207" s="27" t="s">
        <v>2207</v>
      </c>
      <c r="B207" s="63" t="s">
        <v>2199</v>
      </c>
      <c r="C207" s="66" t="n">
        <f aca="false">SUM(E207:P207)</f>
        <v>37559.41</v>
      </c>
      <c r="E207" s="115" t="n">
        <v>3587.4</v>
      </c>
      <c r="F207" s="115" t="n">
        <v>3498.61</v>
      </c>
      <c r="G207" s="115" t="n">
        <v>3981.07</v>
      </c>
      <c r="H207" s="115" t="n">
        <v>4903.06</v>
      </c>
      <c r="I207" s="115" t="n">
        <v>3981.88</v>
      </c>
      <c r="J207" s="115" t="n">
        <v>8519.21</v>
      </c>
      <c r="K207" s="115" t="n">
        <v>4013.66</v>
      </c>
      <c r="L207" s="115" t="n">
        <v>5074.52</v>
      </c>
    </row>
    <row r="208" customFormat="false" ht="15" hidden="false" customHeight="false" outlineLevel="0" collapsed="false">
      <c r="A208" s="27" t="s">
        <v>2208</v>
      </c>
      <c r="B208" s="63" t="s">
        <v>2199</v>
      </c>
      <c r="C208" s="66" t="n">
        <f aca="false">SUM(E208:P208)</f>
        <v>17395.93</v>
      </c>
      <c r="E208" s="115" t="n">
        <v>1661.53</v>
      </c>
      <c r="F208" s="115" t="n">
        <v>1620.41</v>
      </c>
      <c r="G208" s="115" t="n">
        <v>1843.86</v>
      </c>
      <c r="H208" s="115" t="n">
        <v>2270.89</v>
      </c>
      <c r="I208" s="115" t="n">
        <v>1844.24</v>
      </c>
      <c r="J208" s="115" t="n">
        <v>3945.74</v>
      </c>
      <c r="K208" s="115" t="n">
        <v>1858.96</v>
      </c>
      <c r="L208" s="115" t="n">
        <v>2350.3</v>
      </c>
    </row>
    <row r="209" customFormat="false" ht="15" hidden="false" customHeight="false" outlineLevel="0" collapsed="false">
      <c r="A209" s="27" t="s">
        <v>1218</v>
      </c>
      <c r="B209" s="63" t="s">
        <v>2199</v>
      </c>
      <c r="C209" s="66" t="n">
        <f aca="false">SUM(E209:P209)</f>
        <v>27805.97</v>
      </c>
      <c r="E209" s="115" t="n">
        <v>2717.88</v>
      </c>
      <c r="F209" s="115" t="n">
        <v>2661.55</v>
      </c>
      <c r="G209" s="115" t="n">
        <v>2967.62</v>
      </c>
      <c r="H209" s="115" t="n">
        <v>3552.53</v>
      </c>
      <c r="I209" s="115" t="n">
        <v>2968.13</v>
      </c>
      <c r="J209" s="115" t="n">
        <v>6288.65</v>
      </c>
      <c r="K209" s="115" t="n">
        <v>2988.3</v>
      </c>
      <c r="L209" s="115" t="n">
        <v>3661.31</v>
      </c>
    </row>
    <row r="210" customFormat="false" ht="15" hidden="false" customHeight="false" outlineLevel="0" collapsed="false">
      <c r="A210" s="27" t="s">
        <v>2209</v>
      </c>
      <c r="B210" s="63" t="s">
        <v>2199</v>
      </c>
      <c r="C210" s="66" t="n">
        <f aca="false">SUM(E210:P210)</f>
        <v>10220.2</v>
      </c>
      <c r="E210" s="115" t="n">
        <v>1207.2</v>
      </c>
      <c r="F210" s="115" t="n">
        <v>1194</v>
      </c>
      <c r="G210" s="115" t="n">
        <v>1393</v>
      </c>
      <c r="H210" s="115" t="n">
        <v>1331.4</v>
      </c>
      <c r="I210" s="115" t="n">
        <v>1377.6</v>
      </c>
      <c r="J210" s="115" t="n">
        <v>1331.4</v>
      </c>
      <c r="K210" s="115" t="n">
        <v>1254.4</v>
      </c>
      <c r="L210" s="115" t="n">
        <v>1131.2</v>
      </c>
    </row>
    <row r="211" customFormat="false" ht="15" hidden="false" customHeight="false" outlineLevel="0" collapsed="false">
      <c r="A211" s="27" t="s">
        <v>1220</v>
      </c>
      <c r="B211" s="63" t="s">
        <v>2199</v>
      </c>
      <c r="C211" s="66" t="n">
        <f aca="false">SUM(E211:P211)</f>
        <v>3030</v>
      </c>
      <c r="E211" s="115" t="n">
        <v>339</v>
      </c>
      <c r="F211" s="115" t="n">
        <v>339</v>
      </c>
      <c r="G211" s="115" t="n">
        <v>392</v>
      </c>
      <c r="H211" s="115" t="n">
        <v>392</v>
      </c>
      <c r="I211" s="115" t="n">
        <v>392</v>
      </c>
      <c r="J211" s="115" t="n">
        <v>392</v>
      </c>
      <c r="K211" s="115" t="n">
        <v>392</v>
      </c>
      <c r="L211" s="115" t="n">
        <v>392</v>
      </c>
    </row>
    <row r="212" customFormat="false" ht="15" hidden="false" customHeight="false" outlineLevel="0" collapsed="false">
      <c r="A212" s="27" t="s">
        <v>1221</v>
      </c>
      <c r="B212" s="63" t="s">
        <v>2199</v>
      </c>
      <c r="C212" s="66" t="n">
        <f aca="false">SUM(E212:P212)</f>
        <v>112943</v>
      </c>
      <c r="E212" s="115" t="n">
        <v>10725.43</v>
      </c>
      <c r="F212" s="115" t="n">
        <v>10449.03</v>
      </c>
      <c r="G212" s="115" t="n">
        <v>11950.91</v>
      </c>
      <c r="H212" s="115" t="n">
        <v>14821.05</v>
      </c>
      <c r="I212" s="115" t="n">
        <v>11953.44</v>
      </c>
      <c r="J212" s="115" t="n">
        <v>25635.97</v>
      </c>
      <c r="K212" s="115" t="n">
        <v>12052.38</v>
      </c>
      <c r="L212" s="115" t="n">
        <v>15354.79</v>
      </c>
    </row>
    <row r="213" customFormat="false" ht="15" hidden="false" customHeight="false" outlineLevel="0" collapsed="false">
      <c r="A213" s="27" t="s">
        <v>1226</v>
      </c>
      <c r="B213" s="63" t="s">
        <v>2199</v>
      </c>
      <c r="C213" s="66" t="n">
        <f aca="false">SUM(E213:P213)</f>
        <v>171600</v>
      </c>
      <c r="E213" s="115" t="n">
        <v>21450</v>
      </c>
      <c r="F213" s="115" t="n">
        <v>21450</v>
      </c>
      <c r="G213" s="115" t="n">
        <v>21450</v>
      </c>
      <c r="H213" s="115" t="n">
        <v>21450</v>
      </c>
      <c r="I213" s="115" t="n">
        <v>21450</v>
      </c>
      <c r="J213" s="115" t="n">
        <v>21450</v>
      </c>
      <c r="K213" s="115" t="n">
        <v>21450</v>
      </c>
      <c r="L213" s="115" t="n">
        <v>21450</v>
      </c>
    </row>
    <row r="214" customFormat="false" ht="15" hidden="false" customHeight="false" outlineLevel="0" collapsed="false">
      <c r="A214" s="27" t="s">
        <v>1230</v>
      </c>
      <c r="B214" s="63" t="s">
        <v>2199</v>
      </c>
      <c r="C214" s="66" t="n">
        <f aca="false">SUM(E214:P214)</f>
        <v>21450</v>
      </c>
      <c r="E214" s="115" t="n">
        <v>0</v>
      </c>
      <c r="F214" s="115" t="n">
        <v>0</v>
      </c>
      <c r="G214" s="115" t="n">
        <v>0</v>
      </c>
      <c r="H214" s="115" t="n">
        <v>0</v>
      </c>
      <c r="I214" s="115" t="n">
        <v>0</v>
      </c>
      <c r="J214" s="115" t="n">
        <v>21450</v>
      </c>
      <c r="K214" s="115" t="n">
        <v>0</v>
      </c>
      <c r="L214" s="115" t="n">
        <v>0</v>
      </c>
    </row>
    <row r="215" customFormat="false" ht="15" hidden="false" customHeight="false" outlineLevel="0" collapsed="false">
      <c r="A215" s="27" t="s">
        <v>1231</v>
      </c>
      <c r="B215" s="63" t="s">
        <v>2199</v>
      </c>
      <c r="C215" s="66" t="n">
        <f aca="false">SUM(E215:P215)</f>
        <v>0</v>
      </c>
      <c r="E215" s="115" t="n">
        <v>0</v>
      </c>
      <c r="F215" s="115" t="n">
        <v>0</v>
      </c>
      <c r="G215" s="115" t="n">
        <v>0</v>
      </c>
      <c r="H215" s="115" t="n">
        <v>0</v>
      </c>
      <c r="I215" s="115" t="n">
        <v>0</v>
      </c>
      <c r="J215" s="115" t="n">
        <v>0</v>
      </c>
      <c r="K215" s="115" t="n">
        <v>0</v>
      </c>
      <c r="L215" s="115" t="n">
        <v>0</v>
      </c>
    </row>
    <row r="216" customFormat="false" ht="15" hidden="false" customHeight="false" outlineLevel="0" collapsed="false">
      <c r="A216" s="27" t="s">
        <v>2210</v>
      </c>
      <c r="B216" s="63" t="s">
        <v>2199</v>
      </c>
      <c r="C216" s="66" t="n">
        <f aca="false">SUM(E216:P216)</f>
        <v>45849.41</v>
      </c>
      <c r="E216" s="115" t="n">
        <v>5094.38</v>
      </c>
      <c r="F216" s="115" t="n">
        <v>5094.38</v>
      </c>
      <c r="G216" s="115" t="n">
        <v>5094.38</v>
      </c>
      <c r="H216" s="115" t="n">
        <v>5094.38</v>
      </c>
      <c r="I216" s="115" t="n">
        <v>5094.38</v>
      </c>
      <c r="J216" s="115" t="n">
        <v>10188.75</v>
      </c>
      <c r="K216" s="115" t="n">
        <v>5094.38</v>
      </c>
      <c r="L216" s="115" t="n">
        <v>5094.38</v>
      </c>
    </row>
    <row r="217" customFormat="false" ht="15" hidden="false" customHeight="false" outlineLevel="0" collapsed="false">
      <c r="A217" s="27" t="s">
        <v>2211</v>
      </c>
      <c r="B217" s="63" t="s">
        <v>2199</v>
      </c>
      <c r="C217" s="66" t="n">
        <f aca="false">SUM(E217:P217)</f>
        <v>21235.5</v>
      </c>
      <c r="E217" s="115" t="n">
        <v>2359.5</v>
      </c>
      <c r="F217" s="115" t="n">
        <v>2359.5</v>
      </c>
      <c r="G217" s="115" t="n">
        <v>2359.5</v>
      </c>
      <c r="H217" s="115" t="n">
        <v>2359.5</v>
      </c>
      <c r="I217" s="115" t="n">
        <v>2359.5</v>
      </c>
      <c r="J217" s="115" t="n">
        <v>4719</v>
      </c>
      <c r="K217" s="115" t="n">
        <v>2359.5</v>
      </c>
      <c r="L217" s="115" t="n">
        <v>2359.5</v>
      </c>
    </row>
    <row r="218" customFormat="false" ht="15" hidden="false" customHeight="false" outlineLevel="0" collapsed="false">
      <c r="A218" s="27" t="s">
        <v>1235</v>
      </c>
      <c r="B218" s="63" t="s">
        <v>2199</v>
      </c>
      <c r="C218" s="66" t="n">
        <f aca="false">SUM(E218:P218)</f>
        <v>39167.37</v>
      </c>
      <c r="E218" s="115" t="n">
        <v>4351.93</v>
      </c>
      <c r="F218" s="115" t="n">
        <v>4351.93</v>
      </c>
      <c r="G218" s="115" t="n">
        <v>4351.93</v>
      </c>
      <c r="H218" s="115" t="n">
        <v>4351.93</v>
      </c>
      <c r="I218" s="115" t="n">
        <v>4351.93</v>
      </c>
      <c r="J218" s="115" t="n">
        <v>8703.86</v>
      </c>
      <c r="K218" s="115" t="n">
        <v>4351.93</v>
      </c>
      <c r="L218" s="115" t="n">
        <v>4351.93</v>
      </c>
    </row>
    <row r="219" customFormat="false" ht="15" hidden="false" customHeight="false" outlineLevel="0" collapsed="false">
      <c r="A219" s="27" t="s">
        <v>2212</v>
      </c>
      <c r="B219" s="63" t="s">
        <v>2199</v>
      </c>
      <c r="C219" s="66" t="n">
        <f aca="false">SUM(E219:P219)</f>
        <v>13654.8</v>
      </c>
      <c r="E219" s="115" t="n">
        <v>1810.8</v>
      </c>
      <c r="F219" s="115" t="n">
        <v>1791</v>
      </c>
      <c r="G219" s="115" t="n">
        <v>1791</v>
      </c>
      <c r="H219" s="115" t="n">
        <v>1711.8</v>
      </c>
      <c r="I219" s="115" t="n">
        <v>1771.2</v>
      </c>
      <c r="J219" s="115" t="n">
        <v>1711.8</v>
      </c>
      <c r="K219" s="115" t="n">
        <v>1612.8</v>
      </c>
      <c r="L219" s="115" t="n">
        <v>1454.4</v>
      </c>
    </row>
    <row r="220" customFormat="false" ht="15" hidden="false" customHeight="false" outlineLevel="0" collapsed="false">
      <c r="A220" s="27" t="s">
        <v>1237</v>
      </c>
      <c r="B220" s="63" t="s">
        <v>2199</v>
      </c>
      <c r="C220" s="66" t="n">
        <f aca="false">SUM(E220:P220)</f>
        <v>4105.84</v>
      </c>
      <c r="E220" s="115" t="n">
        <v>513.23</v>
      </c>
      <c r="F220" s="115" t="n">
        <v>513.23</v>
      </c>
      <c r="G220" s="115" t="n">
        <v>513.23</v>
      </c>
      <c r="H220" s="115" t="n">
        <v>513.23</v>
      </c>
      <c r="I220" s="115" t="n">
        <v>513.23</v>
      </c>
      <c r="J220" s="115" t="n">
        <v>513.23</v>
      </c>
      <c r="K220" s="115" t="n">
        <v>513.23</v>
      </c>
      <c r="L220" s="115" t="n">
        <v>513.23</v>
      </c>
    </row>
    <row r="221" customFormat="false" ht="15" hidden="false" customHeight="false" outlineLevel="0" collapsed="false">
      <c r="A221" s="27" t="s">
        <v>1238</v>
      </c>
      <c r="B221" s="63" t="s">
        <v>2199</v>
      </c>
      <c r="C221" s="66" t="n">
        <f aca="false">SUM(E221:P221)</f>
        <v>132647.13</v>
      </c>
      <c r="E221" s="115" t="n">
        <v>14738.57</v>
      </c>
      <c r="F221" s="115" t="n">
        <v>14738.57</v>
      </c>
      <c r="G221" s="115" t="n">
        <v>14738.57</v>
      </c>
      <c r="H221" s="115" t="n">
        <v>14738.57</v>
      </c>
      <c r="I221" s="115" t="n">
        <v>14738.57</v>
      </c>
      <c r="J221" s="115" t="n">
        <v>29477.14</v>
      </c>
      <c r="K221" s="115" t="n">
        <v>14738.57</v>
      </c>
      <c r="L221" s="115" t="n">
        <v>14738.57</v>
      </c>
    </row>
    <row r="222" customFormat="false" ht="15" hidden="false" customHeight="false" outlineLevel="0" collapsed="false">
      <c r="A222" s="27" t="s">
        <v>2213</v>
      </c>
      <c r="B222" s="63" t="s">
        <v>2214</v>
      </c>
      <c r="C222" s="68" t="n">
        <f aca="false">P222</f>
        <v>0</v>
      </c>
      <c r="E222" s="136" t="n">
        <v>12</v>
      </c>
      <c r="F222" s="136" t="n">
        <v>12</v>
      </c>
      <c r="G222" s="136" t="n">
        <v>12</v>
      </c>
      <c r="H222" s="136" t="n">
        <v>12</v>
      </c>
      <c r="I222" s="136" t="n">
        <v>12</v>
      </c>
      <c r="J222" s="136" t="n">
        <v>12</v>
      </c>
      <c r="K222" s="136" t="n">
        <v>13</v>
      </c>
      <c r="L222" s="136" t="n">
        <v>13</v>
      </c>
    </row>
    <row r="223" customFormat="false" ht="15" hidden="false" customHeight="false" outlineLevel="0" collapsed="false">
      <c r="A223" s="27" t="s">
        <v>2215</v>
      </c>
      <c r="B223" s="63" t="s">
        <v>2214</v>
      </c>
      <c r="C223" s="68" t="n">
        <f aca="false">P223</f>
        <v>0</v>
      </c>
      <c r="E223" s="136" t="n">
        <v>12</v>
      </c>
      <c r="F223" s="136" t="n">
        <v>12</v>
      </c>
      <c r="G223" s="136" t="n">
        <v>12</v>
      </c>
      <c r="H223" s="136" t="n">
        <v>11</v>
      </c>
      <c r="I223" s="136" t="n">
        <v>10</v>
      </c>
      <c r="J223" s="136" t="n">
        <v>10</v>
      </c>
      <c r="K223" s="136" t="n">
        <v>10</v>
      </c>
      <c r="L223" s="136" t="n">
        <v>10</v>
      </c>
    </row>
    <row r="224" customFormat="false" ht="15" hidden="false" customHeight="false" outlineLevel="0" collapsed="false">
      <c r="A224" s="27" t="s">
        <v>2216</v>
      </c>
      <c r="B224" s="63" t="s">
        <v>2214</v>
      </c>
      <c r="C224" s="68" t="n">
        <f aca="false">P224</f>
        <v>0</v>
      </c>
      <c r="E224" s="136" t="n">
        <v>6</v>
      </c>
      <c r="F224" s="136" t="n">
        <v>6</v>
      </c>
      <c r="G224" s="136" t="n">
        <v>6</v>
      </c>
      <c r="H224" s="136" t="n">
        <v>6</v>
      </c>
      <c r="I224" s="136" t="n">
        <v>6</v>
      </c>
      <c r="J224" s="136" t="n">
        <v>5</v>
      </c>
      <c r="K224" s="136" t="n">
        <v>5</v>
      </c>
      <c r="L224" s="136" t="n">
        <v>5</v>
      </c>
    </row>
    <row r="225" customFormat="false" ht="15" hidden="false" customHeight="false" outlineLevel="0" collapsed="false">
      <c r="A225" s="27" t="s">
        <v>2217</v>
      </c>
      <c r="B225" s="63" t="s">
        <v>2214</v>
      </c>
      <c r="C225" s="68" t="n">
        <f aca="false">P225</f>
        <v>0</v>
      </c>
      <c r="E225" s="136" t="n">
        <v>6</v>
      </c>
      <c r="F225" s="136" t="n">
        <v>6</v>
      </c>
      <c r="G225" s="136" t="n">
        <v>5</v>
      </c>
      <c r="H225" s="136" t="n">
        <v>5</v>
      </c>
      <c r="I225" s="136" t="n">
        <v>5</v>
      </c>
      <c r="J225" s="136" t="n">
        <v>6</v>
      </c>
      <c r="K225" s="136" t="n">
        <v>6</v>
      </c>
      <c r="L225" s="136" t="n">
        <v>6</v>
      </c>
    </row>
    <row r="226" customFormat="false" ht="15" hidden="false" customHeight="false" outlineLevel="0" collapsed="false">
      <c r="A226" s="27" t="s">
        <v>2218</v>
      </c>
      <c r="B226" s="63" t="s">
        <v>2214</v>
      </c>
      <c r="C226" s="68" t="n">
        <f aca="false">P226</f>
        <v>0</v>
      </c>
      <c r="E226" s="136" t="n">
        <v>3</v>
      </c>
      <c r="F226" s="136" t="n">
        <v>3</v>
      </c>
      <c r="G226" s="136" t="n">
        <v>3</v>
      </c>
      <c r="H226" s="136" t="n">
        <v>3</v>
      </c>
      <c r="I226" s="136" t="n">
        <v>3</v>
      </c>
      <c r="J226" s="136" t="n">
        <v>3</v>
      </c>
      <c r="K226" s="136" t="n">
        <v>3</v>
      </c>
      <c r="L226" s="136" t="n">
        <v>3</v>
      </c>
    </row>
    <row r="227" customFormat="false" ht="15" hidden="false" customHeight="false" outlineLevel="0" collapsed="false">
      <c r="A227" s="27" t="s">
        <v>2219</v>
      </c>
      <c r="B227" s="63" t="s">
        <v>2214</v>
      </c>
      <c r="C227" s="68" t="n">
        <f aca="false">P227</f>
        <v>0</v>
      </c>
      <c r="E227" s="136" t="n">
        <v>2</v>
      </c>
      <c r="F227" s="136" t="n">
        <v>2</v>
      </c>
      <c r="G227" s="136" t="n">
        <v>2</v>
      </c>
      <c r="H227" s="136" t="n">
        <v>2</v>
      </c>
      <c r="I227" s="136" t="n">
        <v>2</v>
      </c>
      <c r="J227" s="136" t="n">
        <v>2</v>
      </c>
      <c r="K227" s="136" t="n">
        <v>2</v>
      </c>
      <c r="L227" s="136" t="n">
        <v>2</v>
      </c>
    </row>
    <row r="228" customFormat="false" ht="15" hidden="false" customHeight="false" outlineLevel="0" collapsed="false">
      <c r="A228" s="27" t="s">
        <v>2220</v>
      </c>
      <c r="B228" s="63" t="s">
        <v>2214</v>
      </c>
      <c r="C228" s="68" t="n">
        <f aca="false">P228</f>
        <v>0</v>
      </c>
      <c r="E228" s="136" t="n">
        <v>10</v>
      </c>
      <c r="F228" s="136" t="n">
        <v>11</v>
      </c>
      <c r="G228" s="136" t="n">
        <v>11</v>
      </c>
      <c r="H228" s="136" t="n">
        <v>11</v>
      </c>
      <c r="I228" s="136" t="n">
        <v>11</v>
      </c>
      <c r="J228" s="136" t="n">
        <v>11</v>
      </c>
      <c r="K228" s="136" t="n">
        <v>11</v>
      </c>
      <c r="L228" s="136" t="n">
        <v>11</v>
      </c>
    </row>
    <row r="229" customFormat="false" ht="15" hidden="false" customHeight="false" outlineLevel="0" collapsed="false">
      <c r="A229" s="27" t="s">
        <v>2221</v>
      </c>
      <c r="B229" s="63" t="s">
        <v>2214</v>
      </c>
      <c r="C229" s="68" t="n">
        <f aca="false">P229</f>
        <v>0</v>
      </c>
      <c r="E229" s="136" t="n">
        <v>2</v>
      </c>
      <c r="F229" s="136" t="n">
        <v>2</v>
      </c>
      <c r="G229" s="136" t="n">
        <v>2</v>
      </c>
      <c r="H229" s="136" t="n">
        <v>2</v>
      </c>
      <c r="I229" s="136" t="n">
        <v>2</v>
      </c>
      <c r="J229" s="136" t="n">
        <v>2</v>
      </c>
      <c r="K229" s="136" t="n">
        <v>2</v>
      </c>
      <c r="L229" s="136" t="n">
        <v>2</v>
      </c>
    </row>
    <row r="230" customFormat="false" ht="15" hidden="false" customHeight="false" outlineLevel="0" collapsed="false">
      <c r="A230" s="27" t="s">
        <v>2222</v>
      </c>
      <c r="B230" s="63" t="s">
        <v>2214</v>
      </c>
      <c r="C230" s="68" t="n">
        <f aca="false">P230</f>
        <v>0</v>
      </c>
      <c r="E230" s="136" t="n">
        <v>1</v>
      </c>
      <c r="F230" s="136" t="n">
        <v>1</v>
      </c>
      <c r="G230" s="136" t="n">
        <v>1</v>
      </c>
      <c r="H230" s="136" t="n">
        <v>1</v>
      </c>
      <c r="I230" s="136" t="n">
        <v>1</v>
      </c>
      <c r="J230" s="136" t="n">
        <v>1</v>
      </c>
      <c r="K230" s="136" t="n">
        <v>1</v>
      </c>
      <c r="L230" s="136" t="n">
        <v>1</v>
      </c>
    </row>
    <row r="231" customFormat="false" ht="15" hidden="false" customHeight="false" outlineLevel="0" collapsed="false">
      <c r="A231" s="27" t="s">
        <v>2223</v>
      </c>
      <c r="B231" s="63" t="s">
        <v>2214</v>
      </c>
      <c r="C231" s="68" t="n">
        <f aca="false">P231</f>
        <v>0</v>
      </c>
      <c r="E231" s="136" t="n">
        <v>3</v>
      </c>
      <c r="F231" s="136" t="n">
        <v>3</v>
      </c>
      <c r="G231" s="136" t="n">
        <v>4</v>
      </c>
      <c r="H231" s="136" t="n">
        <v>4</v>
      </c>
      <c r="I231" s="136" t="n">
        <v>4</v>
      </c>
      <c r="J231" s="136" t="n">
        <v>4</v>
      </c>
      <c r="K231" s="136" t="n">
        <v>4</v>
      </c>
      <c r="L231" s="136" t="n">
        <v>4</v>
      </c>
    </row>
    <row r="232" customFormat="false" ht="15" hidden="false" customHeight="false" outlineLevel="0" collapsed="false">
      <c r="A232" s="27" t="s">
        <v>2224</v>
      </c>
      <c r="B232" s="63" t="s">
        <v>2214</v>
      </c>
      <c r="C232" s="68" t="n">
        <f aca="false">P232</f>
        <v>0</v>
      </c>
      <c r="E232" s="136" t="n">
        <v>1</v>
      </c>
      <c r="F232" s="136" t="n">
        <v>1</v>
      </c>
      <c r="G232" s="136" t="n">
        <v>1</v>
      </c>
      <c r="H232" s="136" t="n">
        <v>1</v>
      </c>
      <c r="I232" s="136" t="n">
        <v>1</v>
      </c>
      <c r="J232" s="136" t="n">
        <v>1</v>
      </c>
      <c r="K232" s="136" t="n">
        <v>1</v>
      </c>
      <c r="L232" s="136" t="n">
        <v>1</v>
      </c>
    </row>
    <row r="233" customFormat="false" ht="15" hidden="false" customHeight="false" outlineLevel="0" collapsed="false">
      <c r="A233" s="27" t="s">
        <v>2225</v>
      </c>
      <c r="B233" s="63" t="s">
        <v>2214</v>
      </c>
      <c r="C233" s="68" t="n">
        <f aca="false">P233</f>
        <v>0</v>
      </c>
      <c r="E233" s="136" t="n">
        <v>1</v>
      </c>
      <c r="F233" s="136" t="n">
        <v>1</v>
      </c>
      <c r="G233" s="136" t="n">
        <v>1</v>
      </c>
      <c r="H233" s="136" t="n">
        <v>1</v>
      </c>
      <c r="I233" s="136" t="n">
        <v>1</v>
      </c>
      <c r="J233" s="136" t="n">
        <v>1</v>
      </c>
      <c r="K233" s="136" t="n">
        <v>1</v>
      </c>
      <c r="L233" s="136" t="n">
        <v>1</v>
      </c>
    </row>
    <row r="234" customFormat="false" ht="15" hidden="false" customHeight="false" outlineLevel="0" collapsed="false">
      <c r="A234" s="27" t="s">
        <v>2226</v>
      </c>
      <c r="B234" s="63" t="s">
        <v>2214</v>
      </c>
      <c r="C234" s="68" t="n">
        <f aca="false">P234</f>
        <v>0</v>
      </c>
      <c r="E234" s="136" t="n">
        <v>2</v>
      </c>
      <c r="F234" s="136" t="n">
        <v>2</v>
      </c>
      <c r="G234" s="136" t="n">
        <v>2</v>
      </c>
      <c r="H234" s="136" t="n">
        <v>2</v>
      </c>
      <c r="I234" s="136" t="n">
        <v>2</v>
      </c>
      <c r="J234" s="136" t="n">
        <v>2</v>
      </c>
      <c r="K234" s="136" t="n">
        <v>2</v>
      </c>
      <c r="L234" s="136" t="n">
        <v>2</v>
      </c>
    </row>
    <row r="235" customFormat="false" ht="15" hidden="false" customHeight="false" outlineLevel="0" collapsed="false">
      <c r="A235" s="27" t="s">
        <v>2227</v>
      </c>
      <c r="B235" s="63" t="s">
        <v>2214</v>
      </c>
      <c r="C235" s="68" t="n">
        <f aca="false">P235</f>
        <v>0</v>
      </c>
      <c r="E235" s="136" t="n">
        <v>3</v>
      </c>
      <c r="F235" s="136" t="n">
        <v>3</v>
      </c>
      <c r="G235" s="136" t="n">
        <v>3</v>
      </c>
      <c r="H235" s="136" t="n">
        <v>3</v>
      </c>
      <c r="I235" s="136" t="n">
        <v>3</v>
      </c>
      <c r="J235" s="136" t="n">
        <v>3</v>
      </c>
      <c r="K235" s="136" t="n">
        <v>3</v>
      </c>
      <c r="L235" s="136" t="n">
        <v>3</v>
      </c>
    </row>
    <row r="236" customFormat="false" ht="15" hidden="false" customHeight="false" outlineLevel="0" collapsed="false">
      <c r="A236" s="27" t="s">
        <v>2228</v>
      </c>
      <c r="B236" s="63" t="s">
        <v>2214</v>
      </c>
      <c r="C236" s="68" t="n">
        <f aca="false">P236</f>
        <v>0</v>
      </c>
      <c r="E236" s="136" t="n">
        <v>1</v>
      </c>
      <c r="F236" s="136" t="n">
        <v>1</v>
      </c>
      <c r="G236" s="136" t="n">
        <v>1</v>
      </c>
      <c r="H236" s="136" t="n">
        <v>1</v>
      </c>
      <c r="I236" s="136" t="n">
        <v>1</v>
      </c>
      <c r="J236" s="136" t="n">
        <v>1</v>
      </c>
      <c r="K236" s="136" t="n">
        <v>1</v>
      </c>
      <c r="L236" s="136" t="n">
        <v>1</v>
      </c>
    </row>
    <row r="237" customFormat="false" ht="15" hidden="false" customHeight="false" outlineLevel="0" collapsed="false">
      <c r="A237" s="27" t="s">
        <v>2229</v>
      </c>
      <c r="B237" s="63" t="s">
        <v>2214</v>
      </c>
      <c r="C237" s="68" t="n">
        <f aca="false">P237</f>
        <v>0</v>
      </c>
      <c r="E237" s="136" t="n">
        <v>2</v>
      </c>
      <c r="F237" s="136" t="n">
        <v>2</v>
      </c>
      <c r="G237" s="136" t="n">
        <v>2</v>
      </c>
      <c r="H237" s="136" t="n">
        <v>2</v>
      </c>
      <c r="I237" s="136" t="n">
        <v>2</v>
      </c>
      <c r="J237" s="136" t="n">
        <v>2</v>
      </c>
      <c r="K237" s="136" t="n">
        <v>2</v>
      </c>
      <c r="L237" s="136" t="n">
        <v>2</v>
      </c>
    </row>
    <row r="238" customFormat="false" ht="15" hidden="false" customHeight="false" outlineLevel="0" collapsed="false">
      <c r="A238" s="27" t="s">
        <v>2230</v>
      </c>
      <c r="B238" s="63" t="s">
        <v>2214</v>
      </c>
      <c r="C238" s="68" t="n">
        <f aca="false">P238</f>
        <v>0</v>
      </c>
      <c r="E238" s="136" t="n">
        <v>1</v>
      </c>
      <c r="F238" s="136" t="n">
        <v>1</v>
      </c>
      <c r="G238" s="136" t="n">
        <v>1</v>
      </c>
      <c r="H238" s="136" t="n">
        <v>1</v>
      </c>
      <c r="I238" s="136" t="n">
        <v>1</v>
      </c>
      <c r="J238" s="136" t="n">
        <v>1</v>
      </c>
      <c r="K238" s="136" t="n">
        <v>1</v>
      </c>
      <c r="L238" s="136" t="n">
        <v>1</v>
      </c>
    </row>
    <row r="239" customFormat="false" ht="15" hidden="false" customHeight="false" outlineLevel="0" collapsed="false">
      <c r="A239" s="27" t="s">
        <v>1254</v>
      </c>
      <c r="B239" s="63" t="s">
        <v>2231</v>
      </c>
      <c r="C239" s="66" t="n">
        <f aca="false">SUM(E239:P239)</f>
        <v>17501.07</v>
      </c>
      <c r="E239" s="115" t="n">
        <v>730.98</v>
      </c>
      <c r="F239" s="115" t="n">
        <v>762.39</v>
      </c>
      <c r="G239" s="115" t="n">
        <v>4644.48</v>
      </c>
      <c r="H239" s="115" t="n">
        <v>765.81</v>
      </c>
      <c r="I239" s="115" t="n">
        <v>3870.36</v>
      </c>
      <c r="J239" s="115" t="n">
        <v>899.64</v>
      </c>
      <c r="K239" s="115" t="n">
        <v>5366.4</v>
      </c>
      <c r="L239" s="115" t="n">
        <v>461.01</v>
      </c>
    </row>
    <row r="240" customFormat="false" ht="15" hidden="false" customHeight="false" outlineLevel="0" collapsed="false">
      <c r="A240" s="21" t="s">
        <v>2232</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row>
    <row r="241" customFormat="false" ht="15" hidden="false" customHeight="false" outlineLevel="0" collapsed="false">
      <c r="A241" s="27" t="s">
        <v>2233</v>
      </c>
      <c r="B241" s="63" t="s">
        <v>2234</v>
      </c>
      <c r="C241" s="66" t="n">
        <f aca="false">SUM(E241:P241)</f>
        <v>184072.72</v>
      </c>
      <c r="E241" s="115" t="n">
        <v>22632.54</v>
      </c>
      <c r="F241" s="115" t="n">
        <v>22681.16</v>
      </c>
      <c r="G241" s="115" t="n">
        <v>23112.28</v>
      </c>
      <c r="H241" s="115" t="n">
        <v>23160.22</v>
      </c>
      <c r="I241" s="115" t="n">
        <v>22810.7</v>
      </c>
      <c r="J241" s="115" t="n">
        <v>22847.76</v>
      </c>
      <c r="K241" s="115" t="n">
        <v>23386.32</v>
      </c>
      <c r="L241" s="115" t="n">
        <v>23441.74</v>
      </c>
    </row>
    <row r="242" customFormat="false" ht="15" hidden="false" customHeight="false" outlineLevel="0" collapsed="false">
      <c r="A242" s="27" t="s">
        <v>413</v>
      </c>
      <c r="B242" s="63" t="s">
        <v>2235</v>
      </c>
      <c r="C242" s="66" t="n">
        <f aca="false">SUM(E242:P242)</f>
        <v>71026.5</v>
      </c>
      <c r="E242" s="115" t="n">
        <v>8856.6</v>
      </c>
      <c r="F242" s="115" t="n">
        <v>8856.6</v>
      </c>
      <c r="G242" s="115" t="n">
        <v>8883.6</v>
      </c>
      <c r="H242" s="115" t="n">
        <v>8885.4</v>
      </c>
      <c r="I242" s="115" t="n">
        <v>8870.1</v>
      </c>
      <c r="J242" s="115" t="n">
        <v>8871</v>
      </c>
      <c r="K242" s="115" t="n">
        <v>8900.7</v>
      </c>
      <c r="L242" s="115" t="n">
        <v>8902.5</v>
      </c>
    </row>
    <row r="243" customFormat="false" ht="15" hidden="false" customHeight="false" outlineLevel="0" collapsed="false">
      <c r="A243" s="27" t="s">
        <v>2236</v>
      </c>
      <c r="B243" s="63" t="s">
        <v>2237</v>
      </c>
      <c r="C243" s="66" t="n">
        <f aca="false">SUM(E243:P243)</f>
        <v>41767.47</v>
      </c>
      <c r="E243" s="115" t="n">
        <v>5636.01</v>
      </c>
      <c r="F243" s="115" t="n">
        <v>5397.13</v>
      </c>
      <c r="G243" s="115" t="n">
        <v>4560.78</v>
      </c>
      <c r="H243" s="115" t="n">
        <v>4836.18</v>
      </c>
      <c r="I243" s="115" t="n">
        <v>4674.39</v>
      </c>
      <c r="J243" s="115" t="n">
        <v>5555.41</v>
      </c>
      <c r="K243" s="115" t="n">
        <v>5465.7</v>
      </c>
      <c r="L243" s="115" t="n">
        <v>5641.87</v>
      </c>
    </row>
    <row r="244" customFormat="false" ht="15" hidden="false" customHeight="false" outlineLevel="0" collapsed="false">
      <c r="A244" s="27" t="s">
        <v>987</v>
      </c>
      <c r="B244" s="63" t="s">
        <v>2238</v>
      </c>
      <c r="C244" s="66" t="n">
        <f aca="false">SUM(E244:P244)</f>
        <v>12000</v>
      </c>
      <c r="E244" s="115" t="n">
        <v>1500</v>
      </c>
      <c r="F244" s="115" t="n">
        <v>1500</v>
      </c>
      <c r="G244" s="115" t="n">
        <v>1500</v>
      </c>
      <c r="H244" s="115" t="n">
        <v>1500</v>
      </c>
      <c r="I244" s="115" t="n">
        <v>1500</v>
      </c>
      <c r="J244" s="115" t="n">
        <v>1500</v>
      </c>
      <c r="K244" s="115" t="n">
        <v>1500</v>
      </c>
      <c r="L244" s="115" t="n">
        <v>1500</v>
      </c>
    </row>
    <row r="245" customFormat="false" ht="15" hidden="false" customHeight="false" outlineLevel="0" collapsed="false">
      <c r="A245" s="27" t="s">
        <v>1505</v>
      </c>
      <c r="B245" s="63" t="s">
        <v>2125</v>
      </c>
      <c r="C245" s="66" t="n">
        <f aca="false">SUM(E245:P245)</f>
        <v>84000</v>
      </c>
      <c r="E245" s="115" t="n">
        <v>10500</v>
      </c>
      <c r="F245" s="115" t="n">
        <v>10500</v>
      </c>
      <c r="G245" s="115" t="n">
        <v>10500</v>
      </c>
      <c r="H245" s="115" t="n">
        <v>10500</v>
      </c>
      <c r="I245" s="115" t="n">
        <v>10500</v>
      </c>
      <c r="J245" s="115" t="n">
        <v>10500</v>
      </c>
      <c r="K245" s="115" t="n">
        <v>10500</v>
      </c>
      <c r="L245" s="115" t="n">
        <v>10500</v>
      </c>
    </row>
    <row r="246" customFormat="false" ht="15" hidden="false" customHeight="false" outlineLevel="0" collapsed="false">
      <c r="A246" s="27" t="s">
        <v>427</v>
      </c>
      <c r="B246" s="63" t="s">
        <v>2125</v>
      </c>
      <c r="C246" s="66" t="n">
        <f aca="false">SUM(E246:P246)</f>
        <v>41074.99</v>
      </c>
      <c r="E246" s="115" t="n">
        <v>4238.97</v>
      </c>
      <c r="F246" s="115" t="n">
        <v>4194.22</v>
      </c>
      <c r="G246" s="115" t="n">
        <v>12151.32</v>
      </c>
      <c r="H246" s="115" t="n">
        <v>4122.45</v>
      </c>
      <c r="I246" s="115" t="n">
        <v>4050.77</v>
      </c>
      <c r="J246" s="115" t="n">
        <v>4306.92</v>
      </c>
      <c r="K246" s="115" t="n">
        <v>3980.83</v>
      </c>
      <c r="L246" s="115" t="n">
        <v>4029.51</v>
      </c>
    </row>
    <row r="247" customFormat="false" ht="15" hidden="false" customHeight="false" outlineLevel="0" collapsed="false">
      <c r="A247" s="27" t="s">
        <v>1508</v>
      </c>
      <c r="B247" s="63" t="s">
        <v>2125</v>
      </c>
      <c r="C247" s="66" t="n">
        <f aca="false">SUM(E247:P247)</f>
        <v>15200</v>
      </c>
      <c r="E247" s="115" t="n">
        <v>1900</v>
      </c>
      <c r="F247" s="115" t="n">
        <v>1900</v>
      </c>
      <c r="G247" s="115" t="n">
        <v>1900</v>
      </c>
      <c r="H247" s="115" t="n">
        <v>1900</v>
      </c>
      <c r="I247" s="115" t="n">
        <v>1900</v>
      </c>
      <c r="J247" s="115" t="n">
        <v>1900</v>
      </c>
      <c r="K247" s="115" t="n">
        <v>1900</v>
      </c>
      <c r="L247" s="115" t="n">
        <v>1900</v>
      </c>
    </row>
    <row r="248" customFormat="false" ht="15" hidden="false" customHeight="false" outlineLevel="0" collapsed="false">
      <c r="A248" s="27" t="s">
        <v>429</v>
      </c>
      <c r="B248" s="63" t="s">
        <v>2125</v>
      </c>
      <c r="C248" s="66" t="n">
        <f aca="false">SUM(E248:P248)</f>
        <v>51333.87</v>
      </c>
      <c r="E248" s="115" t="n">
        <v>5721.45</v>
      </c>
      <c r="F248" s="115" t="n">
        <v>6104.26</v>
      </c>
      <c r="G248" s="115" t="n">
        <v>6356.46</v>
      </c>
      <c r="H248" s="115" t="n">
        <v>6204.67</v>
      </c>
      <c r="I248" s="115" t="n">
        <v>11651.5</v>
      </c>
      <c r="J248" s="115" t="n">
        <v>6129.67</v>
      </c>
      <c r="K248" s="115" t="n">
        <v>5939.39</v>
      </c>
      <c r="L248" s="115" t="n">
        <v>3226.47</v>
      </c>
    </row>
    <row r="249" customFormat="false" ht="15" hidden="false" customHeight="false" outlineLevel="0" collapsed="false">
      <c r="A249" s="27" t="s">
        <v>430</v>
      </c>
      <c r="B249" s="63" t="s">
        <v>2125</v>
      </c>
      <c r="C249" s="66" t="n">
        <f aca="false">SUM(E249:P249)</f>
        <v>30255.42</v>
      </c>
      <c r="E249" s="115" t="n">
        <v>3760.19</v>
      </c>
      <c r="F249" s="115" t="n">
        <v>3786.21</v>
      </c>
      <c r="G249" s="115" t="n">
        <v>3761.17</v>
      </c>
      <c r="H249" s="115" t="n">
        <v>3893.49</v>
      </c>
      <c r="I249" s="115" t="n">
        <v>3796.58</v>
      </c>
      <c r="J249" s="115" t="n">
        <v>3623.46</v>
      </c>
      <c r="K249" s="115" t="n">
        <v>3822.18</v>
      </c>
      <c r="L249" s="115" t="n">
        <v>3812.14</v>
      </c>
    </row>
    <row r="250" customFormat="false" ht="15" hidden="false" customHeight="false" outlineLevel="0" collapsed="false">
      <c r="A250" s="27" t="s">
        <v>431</v>
      </c>
      <c r="B250" s="63" t="s">
        <v>2125</v>
      </c>
      <c r="C250" s="66" t="n">
        <f aca="false">SUM(E250:P250)</f>
        <v>11883.07</v>
      </c>
      <c r="E250" s="115" t="n">
        <v>404.52</v>
      </c>
      <c r="F250" s="115" t="n">
        <v>2528.86</v>
      </c>
      <c r="G250" s="115" t="n">
        <v>2601.49</v>
      </c>
      <c r="H250" s="115" t="n">
        <v>387.16</v>
      </c>
      <c r="I250" s="115" t="n">
        <v>399.43</v>
      </c>
      <c r="J250" s="115" t="n">
        <v>2520.56</v>
      </c>
      <c r="K250" s="115" t="n">
        <v>2643.47</v>
      </c>
      <c r="L250" s="115" t="n">
        <v>397.58</v>
      </c>
    </row>
    <row r="251" customFormat="false" ht="15" hidden="false" customHeight="false" outlineLevel="0" collapsed="false">
      <c r="A251" s="27" t="s">
        <v>1509</v>
      </c>
      <c r="B251" s="63" t="s">
        <v>2125</v>
      </c>
      <c r="C251" s="66" t="n">
        <f aca="false">SUM(E251:P251)</f>
        <v>25740.99</v>
      </c>
      <c r="E251" s="115" t="n">
        <v>3255.03</v>
      </c>
      <c r="F251" s="115" t="n">
        <v>3233.46</v>
      </c>
      <c r="G251" s="115" t="n">
        <v>3246.93</v>
      </c>
      <c r="H251" s="115" t="n">
        <v>3103.37</v>
      </c>
      <c r="I251" s="115" t="n">
        <v>3316.44</v>
      </c>
      <c r="J251" s="115" t="n">
        <v>3255.01</v>
      </c>
      <c r="K251" s="115" t="n">
        <v>3174.36</v>
      </c>
      <c r="L251" s="115" t="n">
        <v>3156.39</v>
      </c>
    </row>
    <row r="252" customFormat="false" ht="15" hidden="false" customHeight="false" outlineLevel="0" collapsed="false">
      <c r="A252" s="27" t="s">
        <v>433</v>
      </c>
      <c r="B252" s="63" t="s">
        <v>2125</v>
      </c>
      <c r="C252" s="66" t="n">
        <f aca="false">SUM(E252:P252)</f>
        <v>33552.73</v>
      </c>
      <c r="E252" s="115" t="n">
        <v>4317.95</v>
      </c>
      <c r="F252" s="115" t="n">
        <v>4386.24</v>
      </c>
      <c r="G252" s="115" t="n">
        <v>4056.41</v>
      </c>
      <c r="H252" s="115" t="n">
        <v>3876.23</v>
      </c>
      <c r="I252" s="115" t="n">
        <v>4219.65</v>
      </c>
      <c r="J252" s="115" t="n">
        <v>4256.38</v>
      </c>
      <c r="K252" s="115" t="n">
        <v>4126.14</v>
      </c>
      <c r="L252" s="115" t="n">
        <v>4313.73</v>
      </c>
    </row>
    <row r="253" customFormat="false" ht="15" hidden="false" customHeight="false" outlineLevel="0" collapsed="false">
      <c r="A253" s="27" t="s">
        <v>434</v>
      </c>
      <c r="B253" s="63" t="s">
        <v>2125</v>
      </c>
      <c r="C253" s="66" t="n">
        <f aca="false">SUM(E253:P253)</f>
        <v>21921.74</v>
      </c>
      <c r="E253" s="115" t="n">
        <v>2842.61</v>
      </c>
      <c r="F253" s="115" t="n">
        <v>2764.22</v>
      </c>
      <c r="G253" s="115" t="n">
        <v>2772.09</v>
      </c>
      <c r="H253" s="115" t="n">
        <v>2659.64</v>
      </c>
      <c r="I253" s="115" t="n">
        <v>2737.06</v>
      </c>
      <c r="J253" s="115" t="n">
        <v>2713.85</v>
      </c>
      <c r="K253" s="115" t="n">
        <v>2662.66</v>
      </c>
      <c r="L253" s="115" t="n">
        <v>2769.61</v>
      </c>
    </row>
    <row r="254" customFormat="false" ht="15" hidden="false" customHeight="false" outlineLevel="0" collapsed="false">
      <c r="A254" s="27" t="s">
        <v>435</v>
      </c>
      <c r="B254" s="63" t="s">
        <v>2125</v>
      </c>
      <c r="C254" s="66" t="n">
        <f aca="false">SUM(E254:P254)</f>
        <v>3538.16</v>
      </c>
      <c r="E254" s="115" t="n">
        <v>425.58</v>
      </c>
      <c r="F254" s="115" t="n">
        <v>453.22</v>
      </c>
      <c r="G254" s="115" t="n">
        <v>441.7</v>
      </c>
      <c r="H254" s="115" t="n">
        <v>436.67</v>
      </c>
      <c r="I254" s="115" t="n">
        <v>451.04</v>
      </c>
      <c r="J254" s="115" t="n">
        <v>454.52</v>
      </c>
      <c r="K254" s="115" t="n">
        <v>427.67</v>
      </c>
      <c r="L254" s="115" t="n">
        <v>447.76</v>
      </c>
    </row>
    <row r="255" customFormat="false" ht="15" hidden="false" customHeight="false" outlineLevel="0" collapsed="false">
      <c r="A255" s="27" t="s">
        <v>1532</v>
      </c>
      <c r="B255" s="63" t="s">
        <v>2239</v>
      </c>
      <c r="C255" s="66" t="n">
        <f aca="false">SUM(E255:P255)</f>
        <v>29400</v>
      </c>
      <c r="E255" s="115" t="n">
        <v>1800</v>
      </c>
      <c r="F255" s="115" t="n">
        <v>3100</v>
      </c>
      <c r="G255" s="115" t="n">
        <v>12900</v>
      </c>
      <c r="H255" s="115" t="n">
        <v>1800</v>
      </c>
      <c r="I255" s="115" t="n">
        <v>1800</v>
      </c>
      <c r="J255" s="115" t="n">
        <v>3100</v>
      </c>
      <c r="K255" s="115" t="n">
        <v>3100</v>
      </c>
      <c r="L255" s="115" t="n">
        <v>1800</v>
      </c>
    </row>
    <row r="256" customFormat="false" ht="15" hidden="false" customHeight="false" outlineLevel="0" collapsed="false">
      <c r="A256" s="21" t="s">
        <v>2240</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row>
    <row r="257" customFormat="false" ht="15" hidden="false" customHeight="false" outlineLevel="0" collapsed="false">
      <c r="A257" s="27" t="s">
        <v>2241</v>
      </c>
      <c r="B257" s="63" t="s">
        <v>2242</v>
      </c>
      <c r="C257" s="66" t="n">
        <f aca="false">SUM(E257:P257)</f>
        <v>5870546.38</v>
      </c>
      <c r="E257" s="115" t="n">
        <v>858639.12</v>
      </c>
      <c r="F257" s="115" t="n">
        <v>855237.39</v>
      </c>
      <c r="G257" s="115" t="n">
        <v>696752.39</v>
      </c>
      <c r="H257" s="115" t="n">
        <v>683693.77</v>
      </c>
      <c r="I257" s="115" t="n">
        <v>729320.38</v>
      </c>
      <c r="J257" s="115" t="n">
        <v>690855.75</v>
      </c>
      <c r="K257" s="115" t="n">
        <v>685015.9</v>
      </c>
      <c r="L257" s="115" t="n">
        <v>671031.68</v>
      </c>
    </row>
    <row r="258" customFormat="false" ht="15" hidden="false" customHeight="false" outlineLevel="0" collapsed="false">
      <c r="A258" s="27" t="s">
        <v>714</v>
      </c>
      <c r="B258" s="63" t="s">
        <v>2242</v>
      </c>
      <c r="C258" s="66" t="n">
        <f aca="false">SUM(E258:P258)</f>
        <v>781520.28</v>
      </c>
      <c r="E258" s="115" t="n">
        <v>105400.15</v>
      </c>
      <c r="F258" s="115" t="n">
        <v>108208.67</v>
      </c>
      <c r="G258" s="115" t="n">
        <v>114932.76</v>
      </c>
      <c r="H258" s="115" t="n">
        <v>86944.98</v>
      </c>
      <c r="I258" s="115" t="n">
        <v>111199.22</v>
      </c>
      <c r="J258" s="115" t="n">
        <v>83272.23</v>
      </c>
      <c r="K258" s="115" t="n">
        <v>84401.75</v>
      </c>
      <c r="L258" s="115" t="n">
        <v>87160.52</v>
      </c>
    </row>
    <row r="259" customFormat="false" ht="15" hidden="false" customHeight="false" outlineLevel="0" collapsed="false">
      <c r="A259" s="27" t="s">
        <v>2243</v>
      </c>
      <c r="B259" s="63" t="s">
        <v>2242</v>
      </c>
      <c r="C259" s="66" t="n">
        <f aca="false">SUM(E259:P259)</f>
        <v>36014.37</v>
      </c>
      <c r="E259" s="115" t="n">
        <v>0</v>
      </c>
      <c r="F259" s="115" t="n">
        <v>19612.92</v>
      </c>
      <c r="G259" s="115" t="n">
        <v>0</v>
      </c>
      <c r="H259" s="115" t="n">
        <v>0</v>
      </c>
      <c r="I259" s="115" t="n">
        <v>7858.52</v>
      </c>
      <c r="J259" s="115" t="n">
        <v>0</v>
      </c>
      <c r="K259" s="115" t="n">
        <v>0</v>
      </c>
      <c r="L259" s="115" t="n">
        <v>8542.93</v>
      </c>
    </row>
    <row r="260" customFormat="false" ht="15" hidden="false" customHeight="false" outlineLevel="0" collapsed="false">
      <c r="A260" s="27" t="s">
        <v>2244</v>
      </c>
      <c r="B260" s="63" t="s">
        <v>2242</v>
      </c>
      <c r="C260" s="66" t="n">
        <f aca="false">SUM(E260:P260)</f>
        <v>39067.61</v>
      </c>
      <c r="E260" s="115" t="n">
        <v>0</v>
      </c>
      <c r="F260" s="115" t="n">
        <v>12530.38</v>
      </c>
      <c r="G260" s="115" t="n">
        <v>0</v>
      </c>
      <c r="H260" s="115" t="n">
        <v>0</v>
      </c>
      <c r="I260" s="115" t="n">
        <v>15825.34</v>
      </c>
      <c r="J260" s="115" t="n">
        <v>0</v>
      </c>
      <c r="K260" s="115" t="n">
        <v>0</v>
      </c>
      <c r="L260" s="115" t="n">
        <v>10711.89</v>
      </c>
    </row>
    <row r="261" customFormat="false" ht="15" hidden="false" customHeight="false" outlineLevel="0" collapsed="false">
      <c r="A261" s="21" t="s">
        <v>2245</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row>
    <row r="262" customFormat="false" ht="15" hidden="false" customHeight="false" outlineLevel="0" collapsed="false">
      <c r="A262" s="27" t="s">
        <v>2246</v>
      </c>
      <c r="B262" s="63" t="s">
        <v>2242</v>
      </c>
      <c r="C262" s="66" t="n">
        <f aca="false">SUM(E262:P262)</f>
        <v>1800963.8</v>
      </c>
      <c r="E262" s="115" t="n">
        <v>265273.96</v>
      </c>
      <c r="F262" s="115" t="n">
        <v>171017.48</v>
      </c>
      <c r="G262" s="115" t="n">
        <v>213959.75</v>
      </c>
      <c r="H262" s="115" t="n">
        <v>259420.58</v>
      </c>
      <c r="I262" s="115" t="n">
        <v>209385.41</v>
      </c>
      <c r="J262" s="115" t="n">
        <v>218285.26</v>
      </c>
      <c r="K262" s="115" t="n">
        <v>272849.15</v>
      </c>
      <c r="L262" s="115" t="n">
        <v>190772.21</v>
      </c>
    </row>
    <row r="263" customFormat="false" ht="15" hidden="false" customHeight="false" outlineLevel="0" collapsed="false">
      <c r="A263" s="27" t="s">
        <v>2247</v>
      </c>
      <c r="B263" s="63" t="s">
        <v>2242</v>
      </c>
      <c r="C263" s="66" t="n">
        <f aca="false">SUM(E263:P263)</f>
        <v>1423524.64</v>
      </c>
      <c r="E263" s="115" t="n">
        <v>193719.66</v>
      </c>
      <c r="F263" s="115" t="n">
        <v>349276.45</v>
      </c>
      <c r="G263" s="115" t="n">
        <v>139566.97</v>
      </c>
      <c r="H263" s="115" t="n">
        <v>159995.68</v>
      </c>
      <c r="I263" s="115" t="n">
        <v>146302.45</v>
      </c>
      <c r="J263" s="115" t="n">
        <v>141212.09</v>
      </c>
      <c r="K263" s="115" t="n">
        <v>151673.02</v>
      </c>
      <c r="L263" s="115" t="n">
        <v>141778.32</v>
      </c>
    </row>
    <row r="264" customFormat="false" ht="15" hidden="false" customHeight="false" outlineLevel="0" collapsed="false">
      <c r="A264" s="27" t="s">
        <v>2248</v>
      </c>
      <c r="B264" s="63" t="s">
        <v>2242</v>
      </c>
      <c r="C264" s="66" t="n">
        <f aca="false">SUM(E264:P264)</f>
        <v>429094.97</v>
      </c>
      <c r="E264" s="115" t="n">
        <v>41041.89</v>
      </c>
      <c r="F264" s="115" t="n">
        <v>38265.72</v>
      </c>
      <c r="G264" s="115" t="n">
        <v>44873.9</v>
      </c>
      <c r="H264" s="115" t="n">
        <v>71149.64</v>
      </c>
      <c r="I264" s="115" t="n">
        <v>51792.63</v>
      </c>
      <c r="J264" s="115" t="n">
        <v>61416.53</v>
      </c>
      <c r="K264" s="115" t="n">
        <v>60928.04</v>
      </c>
      <c r="L264" s="115" t="n">
        <v>59626.62</v>
      </c>
    </row>
    <row r="265" customFormat="false" ht="15" hidden="false" customHeight="false" outlineLevel="0" collapsed="false">
      <c r="A265" s="27" t="s">
        <v>2249</v>
      </c>
      <c r="B265" s="63" t="s">
        <v>2242</v>
      </c>
      <c r="C265" s="66" t="n">
        <f aca="false">SUM(E265:P265)</f>
        <v>157656.5</v>
      </c>
      <c r="E265" s="115" t="n">
        <v>19321.57</v>
      </c>
      <c r="F265" s="115" t="n">
        <v>19196.39</v>
      </c>
      <c r="G265" s="115" t="n">
        <v>19532.52</v>
      </c>
      <c r="H265" s="115" t="n">
        <v>20019.3</v>
      </c>
      <c r="I265" s="115" t="n">
        <v>20160.36</v>
      </c>
      <c r="J265" s="115" t="n">
        <v>19710.27</v>
      </c>
      <c r="K265" s="115" t="n">
        <v>19650.61</v>
      </c>
      <c r="L265" s="115" t="n">
        <v>20065.48</v>
      </c>
    </row>
    <row r="266" customFormat="false" ht="15" hidden="false" customHeight="false" outlineLevel="0" collapsed="false">
      <c r="A266" s="27" t="s">
        <v>544</v>
      </c>
      <c r="B266" s="63" t="s">
        <v>2242</v>
      </c>
      <c r="C266" s="66" t="n">
        <f aca="false">SUM(E266:P266)</f>
        <v>408784.58</v>
      </c>
      <c r="E266" s="115" t="n">
        <v>44038.67</v>
      </c>
      <c r="F266" s="115" t="n">
        <v>45315.69</v>
      </c>
      <c r="G266" s="115" t="n">
        <v>45932.9</v>
      </c>
      <c r="H266" s="115" t="n">
        <v>46187.05</v>
      </c>
      <c r="I266" s="115" t="n">
        <v>46962.7</v>
      </c>
      <c r="J266" s="115" t="n">
        <v>45041.5</v>
      </c>
      <c r="K266" s="115" t="n">
        <v>90165.95</v>
      </c>
      <c r="L266" s="115" t="n">
        <v>45140.12</v>
      </c>
    </row>
    <row r="267" customFormat="false" ht="15" hidden="false" customHeight="false" outlineLevel="0" collapsed="false">
      <c r="A267" s="27" t="s">
        <v>545</v>
      </c>
      <c r="B267" s="63" t="s">
        <v>2242</v>
      </c>
      <c r="C267" s="66" t="n">
        <f aca="false">SUM(E267:P267)</f>
        <v>184113.2</v>
      </c>
      <c r="E267" s="115" t="n">
        <v>19781.39</v>
      </c>
      <c r="F267" s="115" t="n">
        <v>20355.69</v>
      </c>
      <c r="G267" s="115" t="n">
        <v>20648.52</v>
      </c>
      <c r="H267" s="115" t="n">
        <v>20834.62</v>
      </c>
      <c r="I267" s="115" t="n">
        <v>21215.21</v>
      </c>
      <c r="J267" s="115" t="n">
        <v>20426.49</v>
      </c>
      <c r="K267" s="115" t="n">
        <v>40607.39</v>
      </c>
      <c r="L267" s="115" t="n">
        <v>20243.89</v>
      </c>
    </row>
    <row r="268" customFormat="false" ht="15" hidden="false" customHeight="false" outlineLevel="0" collapsed="false">
      <c r="A268" s="27" t="s">
        <v>546</v>
      </c>
      <c r="B268" s="63" t="s">
        <v>2242</v>
      </c>
      <c r="C268" s="66" t="n">
        <f aca="false">SUM(E268:P268)</f>
        <v>20935.97</v>
      </c>
      <c r="E268" s="115" t="n">
        <v>2560.97</v>
      </c>
      <c r="F268" s="115" t="n">
        <v>2625</v>
      </c>
      <c r="G268" s="115" t="n">
        <v>2625</v>
      </c>
      <c r="H268" s="115" t="n">
        <v>2625</v>
      </c>
      <c r="I268" s="115" t="n">
        <v>2625</v>
      </c>
      <c r="J268" s="115" t="n">
        <v>2625</v>
      </c>
      <c r="K268" s="115" t="n">
        <v>2625</v>
      </c>
      <c r="L268" s="115" t="n">
        <v>2625</v>
      </c>
    </row>
    <row r="269" customFormat="false" ht="15" hidden="false" customHeight="false" outlineLevel="0" collapsed="false">
      <c r="A269" s="27" t="s">
        <v>2250</v>
      </c>
      <c r="B269" s="63" t="s">
        <v>2242</v>
      </c>
      <c r="C269" s="66" t="n">
        <f aca="false">SUM(E269:P269)</f>
        <v>380630.38</v>
      </c>
      <c r="E269" s="115" t="n">
        <v>72032.56</v>
      </c>
      <c r="F269" s="115" t="n">
        <v>63480.47</v>
      </c>
      <c r="G269" s="115" t="n">
        <v>55311.12</v>
      </c>
      <c r="H269" s="115" t="n">
        <v>43816.63</v>
      </c>
      <c r="I269" s="115" t="n">
        <v>38392.7</v>
      </c>
      <c r="J269" s="115" t="n">
        <v>61335.95</v>
      </c>
      <c r="K269" s="115" t="n">
        <v>46260.95</v>
      </c>
      <c r="L269" s="115" t="n">
        <v>0</v>
      </c>
    </row>
    <row r="270" customFormat="false" ht="15" hidden="false" customHeight="false" outlineLevel="0" collapsed="false">
      <c r="A270" s="27" t="s">
        <v>2251</v>
      </c>
      <c r="B270" s="63" t="s">
        <v>2242</v>
      </c>
      <c r="C270" s="66" t="n">
        <f aca="false">SUM(E270:P270)</f>
        <v>105752.96</v>
      </c>
      <c r="E270" s="115" t="n">
        <v>0</v>
      </c>
      <c r="F270" s="115" t="n">
        <v>0</v>
      </c>
      <c r="G270" s="115" t="n">
        <v>0</v>
      </c>
      <c r="H270" s="115" t="n">
        <v>0</v>
      </c>
      <c r="I270" s="115" t="n">
        <v>0</v>
      </c>
      <c r="J270" s="115" t="n">
        <v>105752.96</v>
      </c>
      <c r="K270" s="115" t="n">
        <v>0</v>
      </c>
      <c r="L270" s="115" t="n">
        <v>0</v>
      </c>
    </row>
    <row r="271" customFormat="false" ht="15" hidden="false" customHeight="false" outlineLevel="0" collapsed="false">
      <c r="A271" s="27" t="s">
        <v>2252</v>
      </c>
      <c r="B271" s="63" t="s">
        <v>2242</v>
      </c>
      <c r="C271" s="66" t="n">
        <f aca="false">SUM(E271:P271)</f>
        <v>73084.59</v>
      </c>
      <c r="E271" s="115" t="n">
        <v>0</v>
      </c>
      <c r="F271" s="115" t="n">
        <v>0</v>
      </c>
      <c r="G271" s="115" t="n">
        <v>0</v>
      </c>
      <c r="H271" s="115" t="n">
        <v>0</v>
      </c>
      <c r="I271" s="115" t="n">
        <v>0</v>
      </c>
      <c r="J271" s="115" t="n">
        <v>0</v>
      </c>
      <c r="K271" s="115" t="n">
        <v>73084.59</v>
      </c>
      <c r="L271" s="115" t="n">
        <v>0</v>
      </c>
    </row>
    <row r="272" customFormat="false" ht="15" hidden="false" customHeight="false" outlineLevel="0" collapsed="false">
      <c r="A272" s="27" t="s">
        <v>555</v>
      </c>
      <c r="B272" s="63" t="s">
        <v>2242</v>
      </c>
      <c r="C272" s="66" t="n">
        <f aca="false">SUM(E272:P272)</f>
        <v>266666.64</v>
      </c>
      <c r="E272" s="115" t="n">
        <v>33333.33</v>
      </c>
      <c r="F272" s="115" t="n">
        <v>33333.33</v>
      </c>
      <c r="G272" s="115" t="n">
        <v>33333.33</v>
      </c>
      <c r="H272" s="115" t="n">
        <v>33333.33</v>
      </c>
      <c r="I272" s="115" t="n">
        <v>33333.33</v>
      </c>
      <c r="J272" s="115" t="n">
        <v>33333.33</v>
      </c>
      <c r="K272" s="115" t="n">
        <v>33333.33</v>
      </c>
      <c r="L272" s="115" t="n">
        <v>33333.33</v>
      </c>
    </row>
    <row r="273" customFormat="false" ht="15" hidden="false" customHeight="false" outlineLevel="0" collapsed="false">
      <c r="A273" s="27" t="s">
        <v>554</v>
      </c>
      <c r="B273" s="63" t="s">
        <v>2242</v>
      </c>
      <c r="C273" s="66" t="n">
        <f aca="false">SUM(E273:P273)</f>
        <v>36914.25</v>
      </c>
      <c r="E273" s="115" t="n">
        <v>4752.58</v>
      </c>
      <c r="F273" s="115" t="n">
        <v>4640.22</v>
      </c>
      <c r="G273" s="115" t="n">
        <v>4699</v>
      </c>
      <c r="H273" s="115" t="n">
        <v>4704</v>
      </c>
      <c r="I273" s="115" t="n">
        <v>4652.08</v>
      </c>
      <c r="J273" s="115" t="n">
        <v>4578.67</v>
      </c>
      <c r="K273" s="115" t="n">
        <v>4477.92</v>
      </c>
      <c r="L273" s="115" t="n">
        <v>4409.78</v>
      </c>
    </row>
    <row r="274" customFormat="false" ht="15" hidden="false" customHeight="false" outlineLevel="0" collapsed="false">
      <c r="A274" s="27" t="s">
        <v>2253</v>
      </c>
      <c r="B274" s="63" t="s">
        <v>2254</v>
      </c>
      <c r="C274" s="66" t="n">
        <f aca="false">SUM(E274:P274)</f>
        <v>360000</v>
      </c>
      <c r="E274" s="115" t="n">
        <v>0</v>
      </c>
      <c r="F274" s="115" t="n">
        <v>0</v>
      </c>
      <c r="G274" s="115" t="n">
        <v>360000</v>
      </c>
      <c r="H274" s="115" t="n">
        <v>0</v>
      </c>
      <c r="I274" s="115" t="n">
        <v>0</v>
      </c>
      <c r="J274" s="115" t="n">
        <v>0</v>
      </c>
      <c r="K274" s="115" t="n">
        <v>0</v>
      </c>
      <c r="L274" s="115" t="n">
        <v>0</v>
      </c>
    </row>
    <row r="275" customFormat="false" ht="15" hidden="false" customHeight="false" outlineLevel="0" collapsed="false">
      <c r="A275" s="27" t="s">
        <v>2255</v>
      </c>
      <c r="B275" s="63" t="s">
        <v>2242</v>
      </c>
      <c r="C275" s="66" t="n">
        <f aca="false">SUM(E275:P275)</f>
        <v>259200</v>
      </c>
      <c r="E275" s="115" t="n">
        <v>0</v>
      </c>
      <c r="F275" s="115" t="n">
        <v>0</v>
      </c>
      <c r="G275" s="115" t="n">
        <v>0</v>
      </c>
      <c r="H275" s="115" t="n">
        <v>0</v>
      </c>
      <c r="I275" s="115" t="n">
        <v>259200</v>
      </c>
      <c r="J275" s="115" t="n">
        <v>0</v>
      </c>
      <c r="K275" s="115" t="n">
        <v>0</v>
      </c>
      <c r="L275" s="115" t="n">
        <v>0</v>
      </c>
    </row>
    <row r="276" customFormat="false" ht="15" hidden="false" customHeight="false" outlineLevel="0" collapsed="false">
      <c r="A276" s="27" t="s">
        <v>1574</v>
      </c>
      <c r="B276" s="63" t="s">
        <v>2242</v>
      </c>
      <c r="C276" s="66" t="n">
        <f aca="false">SUM(E276:P276)</f>
        <v>100800</v>
      </c>
      <c r="E276" s="115" t="n">
        <v>0</v>
      </c>
      <c r="F276" s="115" t="n">
        <v>0</v>
      </c>
      <c r="G276" s="115" t="n">
        <v>0</v>
      </c>
      <c r="H276" s="115" t="n">
        <v>0</v>
      </c>
      <c r="I276" s="115" t="n">
        <v>0</v>
      </c>
      <c r="J276" s="115" t="n">
        <v>100800</v>
      </c>
      <c r="K276" s="115" t="n">
        <v>0</v>
      </c>
      <c r="L276" s="115" t="n">
        <v>0</v>
      </c>
    </row>
    <row r="277" customFormat="false" ht="15" hidden="false" customHeight="false" outlineLevel="0" collapsed="false">
      <c r="A277" s="21" t="s">
        <v>2256</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row>
    <row r="278" customFormat="false" ht="15" hidden="false" customHeight="false" outlineLevel="0" collapsed="false">
      <c r="A278" s="27" t="s">
        <v>385</v>
      </c>
      <c r="B278" s="63" t="s">
        <v>2257</v>
      </c>
      <c r="C278" s="115" t="n">
        <v>950000</v>
      </c>
    </row>
    <row r="279" customFormat="false" ht="15" hidden="false" customHeight="false" outlineLevel="0" collapsed="false">
      <c r="A279" s="27" t="s">
        <v>457</v>
      </c>
      <c r="B279" s="63" t="s">
        <v>2257</v>
      </c>
      <c r="C279" s="115" t="n">
        <v>1083767.62</v>
      </c>
    </row>
    <row r="280" customFormat="false" ht="15" hidden="false" customHeight="false" outlineLevel="0" collapsed="false">
      <c r="A280" s="27" t="s">
        <v>458</v>
      </c>
      <c r="B280" s="63" t="s">
        <v>2257</v>
      </c>
      <c r="C280" s="115" t="n">
        <v>193321.41</v>
      </c>
    </row>
    <row r="281" customFormat="false" ht="15" hidden="false" customHeight="false" outlineLevel="0" collapsed="false">
      <c r="A281" s="27" t="s">
        <v>460</v>
      </c>
      <c r="B281" s="63" t="s">
        <v>2257</v>
      </c>
      <c r="C281" s="115" t="n">
        <v>96500</v>
      </c>
    </row>
    <row r="282" customFormat="false" ht="15" hidden="false" customHeight="false" outlineLevel="0" collapsed="false">
      <c r="A282" s="27" t="s">
        <v>461</v>
      </c>
      <c r="B282" s="63" t="s">
        <v>2257</v>
      </c>
      <c r="C282" s="115" t="n">
        <v>64600</v>
      </c>
    </row>
    <row r="283" customFormat="false" ht="15" hidden="false" customHeight="false" outlineLevel="0" collapsed="false">
      <c r="A283" s="27" t="s">
        <v>462</v>
      </c>
      <c r="B283" s="63" t="s">
        <v>2257</v>
      </c>
      <c r="C283" s="115" t="n">
        <v>32143.3</v>
      </c>
    </row>
    <row r="284" customFormat="false" ht="15" hidden="false" customHeight="false" outlineLevel="0" collapsed="false">
      <c r="A284" s="27" t="s">
        <v>464</v>
      </c>
      <c r="B284" s="63" t="s">
        <v>2257</v>
      </c>
      <c r="C284" s="115" t="n">
        <v>21000</v>
      </c>
    </row>
    <row r="285" customFormat="false" ht="15" hidden="false" customHeight="false" outlineLevel="0" collapsed="false">
      <c r="A285" s="27" t="s">
        <v>2258</v>
      </c>
      <c r="B285" s="63" t="s">
        <v>2257</v>
      </c>
      <c r="C285" s="115" t="n">
        <v>0</v>
      </c>
    </row>
    <row r="286" customFormat="false" ht="15" hidden="false" customHeight="false" outlineLevel="0" collapsed="false">
      <c r="A286" s="27" t="s">
        <v>2259</v>
      </c>
      <c r="B286" s="63" t="s">
        <v>2257</v>
      </c>
      <c r="C286" s="115" t="n">
        <v>186000</v>
      </c>
    </row>
    <row r="287" customFormat="false" ht="15" hidden="false" customHeight="false" outlineLevel="0" collapsed="false">
      <c r="A287" s="27" t="s">
        <v>2260</v>
      </c>
      <c r="B287" s="63" t="s">
        <v>2257</v>
      </c>
      <c r="C287" s="115" t="n">
        <v>121000</v>
      </c>
    </row>
    <row r="288" customFormat="false" ht="15" hidden="false" customHeight="false" outlineLevel="0" collapsed="false">
      <c r="A288" s="27" t="s">
        <v>2261</v>
      </c>
      <c r="B288" s="63" t="s">
        <v>2257</v>
      </c>
      <c r="C288" s="115" t="n">
        <v>140000</v>
      </c>
    </row>
    <row r="289" customFormat="false" ht="15" hidden="false" customHeight="false" outlineLevel="0" collapsed="false">
      <c r="A289" s="27" t="s">
        <v>2262</v>
      </c>
      <c r="B289" s="63" t="s">
        <v>2257</v>
      </c>
      <c r="C289" s="115" t="n">
        <v>84000</v>
      </c>
    </row>
    <row r="290" customFormat="false" ht="15" hidden="false" customHeight="false" outlineLevel="0" collapsed="false">
      <c r="A290" s="27" t="s">
        <v>2263</v>
      </c>
      <c r="B290" s="63" t="s">
        <v>2257</v>
      </c>
      <c r="C290" s="115" t="n">
        <v>480000</v>
      </c>
    </row>
    <row r="291" customFormat="false" ht="15" hidden="false" customHeight="false" outlineLevel="0" collapsed="false">
      <c r="A291" s="27" t="s">
        <v>2264</v>
      </c>
      <c r="B291" s="63" t="s">
        <v>2257</v>
      </c>
      <c r="C291" s="115" t="n">
        <v>105000</v>
      </c>
    </row>
    <row r="292" customFormat="false" ht="15" hidden="false" customHeight="false" outlineLevel="0" collapsed="false">
      <c r="A292" s="27" t="s">
        <v>468</v>
      </c>
      <c r="B292" s="63" t="s">
        <v>2257</v>
      </c>
      <c r="C292" s="115" t="n">
        <v>920000</v>
      </c>
    </row>
    <row r="293" customFormat="false" ht="15" hidden="false" customHeight="false" outlineLevel="0" collapsed="false">
      <c r="A293" s="27" t="s">
        <v>471</v>
      </c>
      <c r="B293" s="63" t="s">
        <v>2257</v>
      </c>
      <c r="C293" s="115" t="n">
        <v>265273.96</v>
      </c>
    </row>
    <row r="294" customFormat="false" ht="15" hidden="false" customHeight="false" outlineLevel="0" collapsed="false">
      <c r="A294" s="27" t="s">
        <v>472</v>
      </c>
      <c r="B294" s="63" t="s">
        <v>2257</v>
      </c>
      <c r="C294" s="115" t="n">
        <v>193719.66</v>
      </c>
    </row>
    <row r="295" customFormat="false" ht="15" hidden="false" customHeight="false" outlineLevel="0" collapsed="false">
      <c r="A295" s="27" t="s">
        <v>2265</v>
      </c>
      <c r="B295" s="63" t="s">
        <v>2257</v>
      </c>
      <c r="C295" s="115" t="n">
        <v>19311.67</v>
      </c>
    </row>
    <row r="296" customFormat="false" ht="15" hidden="false" customHeight="false" outlineLevel="0" collapsed="false">
      <c r="A296" s="27" t="s">
        <v>474</v>
      </c>
      <c r="B296" s="63" t="s">
        <v>2257</v>
      </c>
      <c r="C296" s="115" t="n">
        <v>41041.89</v>
      </c>
    </row>
    <row r="297" customFormat="false" ht="15" hidden="false" customHeight="false" outlineLevel="0" collapsed="false">
      <c r="A297" s="27" t="s">
        <v>475</v>
      </c>
      <c r="B297" s="63" t="s">
        <v>2257</v>
      </c>
      <c r="C297" s="115" t="n">
        <v>85000</v>
      </c>
    </row>
    <row r="298" customFormat="false" ht="15" hidden="false" customHeight="false" outlineLevel="0" collapsed="false">
      <c r="A298" s="27" t="s">
        <v>2266</v>
      </c>
      <c r="B298" s="63" t="s">
        <v>2257</v>
      </c>
      <c r="C298" s="115" t="n">
        <v>33912.2</v>
      </c>
    </row>
    <row r="299" customFormat="false" ht="15" hidden="false" customHeight="false" outlineLevel="0" collapsed="false">
      <c r="A299" s="27" t="s">
        <v>477</v>
      </c>
      <c r="B299" s="63" t="s">
        <v>2257</v>
      </c>
      <c r="C299" s="115" t="n">
        <v>8056.25</v>
      </c>
    </row>
    <row r="300" customFormat="false" ht="15" hidden="false" customHeight="false" outlineLevel="0" collapsed="false">
      <c r="A300" s="27" t="s">
        <v>478</v>
      </c>
      <c r="B300" s="63" t="s">
        <v>2257</v>
      </c>
      <c r="C300" s="115" t="n">
        <v>0</v>
      </c>
    </row>
    <row r="301" customFormat="false" ht="15" hidden="false" customHeight="false" outlineLevel="0" collapsed="false">
      <c r="A301" s="27" t="s">
        <v>2267</v>
      </c>
      <c r="B301" s="63" t="s">
        <v>2257</v>
      </c>
      <c r="C301" s="115" t="n">
        <v>135513.03</v>
      </c>
    </row>
    <row r="302" customFormat="false" ht="15" hidden="false" customHeight="false" outlineLevel="0" collapsed="false">
      <c r="A302" s="27" t="s">
        <v>2268</v>
      </c>
      <c r="B302" s="63" t="s">
        <v>2257</v>
      </c>
      <c r="C302" s="115" t="n">
        <v>44038.67</v>
      </c>
    </row>
    <row r="303" customFormat="false" ht="15" hidden="false" customHeight="false" outlineLevel="0" collapsed="false">
      <c r="A303" s="27" t="s">
        <v>2269</v>
      </c>
      <c r="B303" s="63" t="s">
        <v>2257</v>
      </c>
      <c r="C303" s="115" t="n">
        <v>19781.39</v>
      </c>
    </row>
    <row r="304" customFormat="false" ht="15" hidden="false" customHeight="false" outlineLevel="0" collapsed="false">
      <c r="A304" s="27" t="s">
        <v>482</v>
      </c>
      <c r="B304" s="63" t="s">
        <v>2257</v>
      </c>
      <c r="C304" s="115" t="n">
        <v>2560.97</v>
      </c>
    </row>
    <row r="305" customFormat="false" ht="15" hidden="false" customHeight="false" outlineLevel="0" collapsed="false">
      <c r="A305" s="27" t="s">
        <v>2270</v>
      </c>
      <c r="B305" s="63" t="s">
        <v>2257</v>
      </c>
      <c r="C305" s="115" t="n">
        <v>1367.24</v>
      </c>
    </row>
    <row r="306" customFormat="false" ht="15" hidden="false" customHeight="false" outlineLevel="0" collapsed="false">
      <c r="A306" s="27" t="s">
        <v>2271</v>
      </c>
      <c r="B306" s="63" t="s">
        <v>2257</v>
      </c>
      <c r="C306" s="115" t="n">
        <v>320017.5</v>
      </c>
    </row>
    <row r="307" customFormat="false" ht="15" hidden="false" customHeight="false" outlineLevel="0" collapsed="false">
      <c r="A307" s="27" t="s">
        <v>485</v>
      </c>
      <c r="B307" s="63" t="s">
        <v>2257</v>
      </c>
      <c r="C307" s="115" t="n">
        <v>0</v>
      </c>
    </row>
    <row r="308" customFormat="false" ht="15" hidden="false" customHeight="false" outlineLevel="0" collapsed="false">
      <c r="A308" s="27" t="s">
        <v>2272</v>
      </c>
      <c r="B308" s="63" t="s">
        <v>2257</v>
      </c>
      <c r="C308" s="115" t="n">
        <v>105752.96</v>
      </c>
    </row>
    <row r="309" customFormat="false" ht="15" hidden="false" customHeight="false" outlineLevel="0" collapsed="false">
      <c r="A309" s="27" t="s">
        <v>490</v>
      </c>
      <c r="B309" s="63" t="s">
        <v>2257</v>
      </c>
      <c r="C309" s="115" t="n">
        <v>1300000</v>
      </c>
    </row>
    <row r="310" customFormat="false" ht="15" hidden="false" customHeight="false" outlineLevel="0" collapsed="false">
      <c r="A310" s="27" t="s">
        <v>488</v>
      </c>
      <c r="B310" s="63" t="s">
        <v>2257</v>
      </c>
      <c r="C310" s="115" t="n">
        <v>0</v>
      </c>
    </row>
    <row r="311" customFormat="false" ht="15" hidden="false" customHeight="false" outlineLevel="0" collapsed="false">
      <c r="A311" s="27" t="s">
        <v>601</v>
      </c>
      <c r="B311" s="63" t="s">
        <v>2257</v>
      </c>
      <c r="C311" s="115" t="n">
        <v>0</v>
      </c>
    </row>
    <row r="312" customFormat="false" ht="15" hidden="false" customHeight="false" outlineLevel="0" collapsed="false">
      <c r="A312" s="27" t="s">
        <v>493</v>
      </c>
      <c r="B312" s="63" t="s">
        <v>2257</v>
      </c>
      <c r="C312" s="115" t="n">
        <v>50000</v>
      </c>
    </row>
    <row r="313" customFormat="false" ht="15" hidden="false" customHeight="false" outlineLevel="0" collapsed="false">
      <c r="A313" s="27" t="s">
        <v>494</v>
      </c>
      <c r="B313" s="63" t="s">
        <v>2257</v>
      </c>
      <c r="C313" s="115" t="n">
        <v>10000</v>
      </c>
    </row>
    <row r="314" customFormat="false" ht="15" hidden="false" customHeight="false" outlineLevel="0" collapsed="false">
      <c r="A314" s="27" t="s">
        <v>498</v>
      </c>
      <c r="B314" s="63" t="s">
        <v>2257</v>
      </c>
      <c r="C314" s="115" t="n">
        <v>1221984.94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9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15" min="2" style="0" width="12"/>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2273</v>
      </c>
    </row>
    <row r="3" customFormat="false" ht="15" hidden="false" customHeight="false" outlineLevel="0" collapsed="false">
      <c r="A3" s="24" t="s">
        <v>2274</v>
      </c>
    </row>
    <row r="5" customFormat="false" ht="19.5" hidden="false" customHeight="true" outlineLevel="0" collapsed="false">
      <c r="A5" s="25" t="s">
        <v>345</v>
      </c>
      <c r="B5" s="26" t="s">
        <v>2275</v>
      </c>
      <c r="C5" s="26" t="s">
        <v>2276</v>
      </c>
      <c r="D5" s="26" t="s">
        <v>2277</v>
      </c>
      <c r="E5" s="26" t="s">
        <v>2278</v>
      </c>
      <c r="F5" s="26" t="s">
        <v>2279</v>
      </c>
      <c r="G5" s="26" t="s">
        <v>2280</v>
      </c>
      <c r="H5" s="26" t="s">
        <v>2281</v>
      </c>
      <c r="I5" s="26" t="s">
        <v>2282</v>
      </c>
      <c r="J5" s="26" t="s">
        <v>2283</v>
      </c>
      <c r="K5" s="26" t="s">
        <v>2284</v>
      </c>
      <c r="L5" s="26" t="s">
        <v>2285</v>
      </c>
      <c r="M5" s="26" t="s">
        <v>2286</v>
      </c>
      <c r="N5" s="26" t="s">
        <v>2287</v>
      </c>
      <c r="O5" s="26" t="s">
        <v>2288</v>
      </c>
    </row>
    <row r="6" customFormat="false" ht="15" hidden="false" customHeight="false" outlineLevel="0" collapsed="false">
      <c r="A6" s="21" t="s">
        <v>400</v>
      </c>
      <c r="B6" s="22"/>
      <c r="C6" s="22"/>
      <c r="D6" s="22"/>
      <c r="E6" s="22"/>
      <c r="F6" s="22"/>
      <c r="G6" s="22"/>
      <c r="H6" s="22"/>
      <c r="I6" s="22"/>
      <c r="J6" s="22"/>
      <c r="K6" s="22"/>
      <c r="L6" s="22"/>
      <c r="M6" s="22"/>
      <c r="N6" s="22"/>
      <c r="O6" s="22"/>
    </row>
    <row r="7" customFormat="false" ht="15" hidden="false" customHeight="false" outlineLevel="0" collapsed="false">
      <c r="A7" s="0" t="s">
        <v>401</v>
      </c>
      <c r="B7" s="57" t="s">
        <v>2289</v>
      </c>
      <c r="C7" s="115" t="n">
        <v>198180.03</v>
      </c>
      <c r="D7" s="115" t="n">
        <v>203256.83</v>
      </c>
      <c r="E7" s="115" t="n">
        <v>208618.07</v>
      </c>
      <c r="F7" s="115" t="n">
        <v>209706.43</v>
      </c>
      <c r="G7" s="115" t="n">
        <v>210578.13</v>
      </c>
      <c r="H7" s="115" t="n">
        <v>214324.84</v>
      </c>
      <c r="I7" s="115" t="n">
        <v>214973.11</v>
      </c>
      <c r="J7" s="115" t="n">
        <v>216129.73</v>
      </c>
      <c r="K7" s="115" t="n">
        <v>219101.62</v>
      </c>
      <c r="L7" s="115" t="n">
        <v>220060.95</v>
      </c>
      <c r="M7" s="115" t="n">
        <v>220925.5</v>
      </c>
      <c r="N7" s="115" t="n">
        <v>221378</v>
      </c>
      <c r="O7" s="35" t="n">
        <f aca="false">SUM(C7:N7)</f>
        <v>2557233.24</v>
      </c>
    </row>
    <row r="8" customFormat="false" ht="15" hidden="false" customHeight="false" outlineLevel="0" collapsed="false">
      <c r="A8" s="0" t="s">
        <v>2290</v>
      </c>
      <c r="B8" s="57" t="s">
        <v>2291</v>
      </c>
      <c r="C8" s="115" t="n">
        <v>0</v>
      </c>
      <c r="D8" s="115" t="n">
        <v>0</v>
      </c>
      <c r="E8" s="115" t="n">
        <v>0</v>
      </c>
      <c r="F8" s="115" t="n">
        <v>0</v>
      </c>
      <c r="G8" s="115" t="n">
        <v>0</v>
      </c>
      <c r="H8" s="115" t="n">
        <v>0</v>
      </c>
      <c r="I8" s="115" t="n">
        <v>0</v>
      </c>
      <c r="J8" s="115" t="n">
        <v>-1964.77</v>
      </c>
      <c r="K8" s="115" t="n">
        <v>0</v>
      </c>
      <c r="L8" s="115" t="n">
        <v>0</v>
      </c>
      <c r="M8" s="115" t="n">
        <v>0</v>
      </c>
      <c r="N8" s="115" t="n">
        <v>0</v>
      </c>
      <c r="O8" s="35" t="n">
        <f aca="false">SUM(C8:N8)</f>
        <v>-1964.77</v>
      </c>
    </row>
    <row r="9" customFormat="false" ht="15" hidden="false" customHeight="false" outlineLevel="0" collapsed="false">
      <c r="A9" s="0" t="s">
        <v>403</v>
      </c>
      <c r="B9" s="57" t="s">
        <v>2292</v>
      </c>
      <c r="C9" s="115" t="n">
        <v>0</v>
      </c>
      <c r="D9" s="115" t="n">
        <v>87.5</v>
      </c>
      <c r="E9" s="115" t="n">
        <v>175</v>
      </c>
      <c r="F9" s="115" t="n">
        <v>175</v>
      </c>
      <c r="G9" s="115" t="n">
        <v>175</v>
      </c>
      <c r="H9" s="115" t="n">
        <v>243.75</v>
      </c>
      <c r="I9" s="115" t="n">
        <v>243.75</v>
      </c>
      <c r="J9" s="115" t="n">
        <v>243.75</v>
      </c>
      <c r="K9" s="115" t="n">
        <v>293.75</v>
      </c>
      <c r="L9" s="115" t="n">
        <v>293.75</v>
      </c>
      <c r="M9" s="115" t="n">
        <v>293.75</v>
      </c>
      <c r="N9" s="115" t="n">
        <v>293.75</v>
      </c>
      <c r="O9" s="35" t="n">
        <f aca="false">SUM(C9:N9)</f>
        <v>2518.75</v>
      </c>
    </row>
    <row r="10" customFormat="false" ht="15" hidden="false" customHeight="false" outlineLevel="0" collapsed="false">
      <c r="A10" s="0" t="s">
        <v>2293</v>
      </c>
      <c r="B10" s="57" t="s">
        <v>2294</v>
      </c>
      <c r="C10" s="115" t="n">
        <v>58205.39</v>
      </c>
      <c r="D10" s="115" t="n">
        <v>59509.02</v>
      </c>
      <c r="E10" s="115" t="n">
        <v>60809.83</v>
      </c>
      <c r="F10" s="115" t="n">
        <v>60942.71</v>
      </c>
      <c r="G10" s="115" t="n">
        <v>61001.75</v>
      </c>
      <c r="H10" s="115" t="n">
        <v>62144.03</v>
      </c>
      <c r="I10" s="115" t="n">
        <v>62372.31</v>
      </c>
      <c r="J10" s="115" t="n">
        <v>62428.91</v>
      </c>
      <c r="K10" s="115" t="n">
        <v>63080.5</v>
      </c>
      <c r="L10" s="115" t="n">
        <v>63236.17</v>
      </c>
      <c r="M10" s="115" t="n">
        <v>63345.48</v>
      </c>
      <c r="N10" s="115" t="n">
        <v>63494.89</v>
      </c>
      <c r="O10" s="35" t="n">
        <f aca="false">SUM(C10:N10)</f>
        <v>740570.99</v>
      </c>
    </row>
    <row r="11" customFormat="false" ht="15" hidden="false" customHeight="false" outlineLevel="0" collapsed="false">
      <c r="A11" s="0" t="s">
        <v>2295</v>
      </c>
      <c r="B11" s="57" t="s">
        <v>2296</v>
      </c>
      <c r="C11" s="115" t="n">
        <v>31416.67</v>
      </c>
      <c r="D11" s="115" t="n">
        <v>31500</v>
      </c>
      <c r="E11" s="115" t="n">
        <v>31583.33</v>
      </c>
      <c r="F11" s="115" t="n">
        <v>31666.67</v>
      </c>
      <c r="G11" s="115" t="n">
        <v>31666.67</v>
      </c>
      <c r="H11" s="115" t="n">
        <v>31750</v>
      </c>
      <c r="I11" s="115" t="n">
        <v>31833.33</v>
      </c>
      <c r="J11" s="115" t="n">
        <v>31833.33</v>
      </c>
      <c r="K11" s="115" t="n">
        <v>32000</v>
      </c>
      <c r="L11" s="115" t="n">
        <v>32083.33</v>
      </c>
      <c r="M11" s="115" t="n">
        <v>32166.67</v>
      </c>
      <c r="N11" s="115" t="n">
        <v>32333.33</v>
      </c>
      <c r="O11" s="35" t="n">
        <f aca="false">SUM(C11:N11)</f>
        <v>381833.33</v>
      </c>
    </row>
    <row r="12" customFormat="false" ht="15" hidden="false" customHeight="false" outlineLevel="0" collapsed="false">
      <c r="A12" s="0" t="s">
        <v>2297</v>
      </c>
      <c r="B12" s="57" t="s">
        <v>2298</v>
      </c>
      <c r="C12" s="115" t="n">
        <v>7360.6</v>
      </c>
      <c r="D12" s="115" t="n">
        <v>7785.25</v>
      </c>
      <c r="E12" s="115" t="n">
        <v>10050.05</v>
      </c>
      <c r="F12" s="115" t="n">
        <v>8209.9</v>
      </c>
      <c r="G12" s="115" t="n">
        <v>8493</v>
      </c>
      <c r="H12" s="115" t="n">
        <v>9059.2</v>
      </c>
      <c r="I12" s="115" t="n">
        <v>8068.35</v>
      </c>
      <c r="J12" s="115" t="n">
        <v>5803.55</v>
      </c>
      <c r="K12" s="115" t="n">
        <v>9342.3</v>
      </c>
      <c r="L12" s="115" t="n">
        <v>10191.6</v>
      </c>
      <c r="M12" s="115" t="n">
        <v>11040.9</v>
      </c>
      <c r="N12" s="115" t="n">
        <v>13588.8</v>
      </c>
      <c r="O12" s="35" t="n">
        <f aca="false">SUM(C12:N12)</f>
        <v>108993.5</v>
      </c>
    </row>
    <row r="13" customFormat="false" ht="15" hidden="false" customHeight="false" outlineLevel="0" collapsed="false">
      <c r="A13" s="0" t="s">
        <v>53</v>
      </c>
      <c r="B13" s="57" t="s">
        <v>2299</v>
      </c>
      <c r="C13" s="115" t="n">
        <v>238000</v>
      </c>
      <c r="D13" s="115" t="n">
        <v>251000</v>
      </c>
      <c r="E13" s="115" t="n">
        <v>292000</v>
      </c>
      <c r="F13" s="115" t="n">
        <v>268000</v>
      </c>
      <c r="G13" s="115" t="n">
        <v>281000</v>
      </c>
      <c r="H13" s="115" t="n">
        <v>329000</v>
      </c>
      <c r="I13" s="115" t="n">
        <v>262000</v>
      </c>
      <c r="J13" s="115" t="n">
        <v>171000</v>
      </c>
      <c r="K13" s="115" t="n">
        <v>334000</v>
      </c>
      <c r="L13" s="115" t="n">
        <v>361000</v>
      </c>
      <c r="M13" s="115" t="n">
        <v>302000</v>
      </c>
      <c r="N13" s="115" t="n">
        <v>279000</v>
      </c>
      <c r="O13" s="35" t="n">
        <f aca="false">SUM(C13:N13)</f>
        <v>3368000</v>
      </c>
    </row>
    <row r="14" customFormat="false" ht="15" hidden="false" customHeight="false" outlineLevel="0" collapsed="false">
      <c r="A14" s="0" t="s">
        <v>51</v>
      </c>
      <c r="B14" s="57" t="s">
        <v>2300</v>
      </c>
      <c r="C14" s="115" t="n">
        <v>96000</v>
      </c>
      <c r="D14" s="115" t="n">
        <v>101000</v>
      </c>
      <c r="E14" s="115" t="n">
        <v>108000</v>
      </c>
      <c r="F14" s="115" t="n">
        <v>104000</v>
      </c>
      <c r="G14" s="115" t="n">
        <v>99000</v>
      </c>
      <c r="H14" s="115" t="n">
        <v>112000</v>
      </c>
      <c r="I14" s="115" t="n">
        <v>94000</v>
      </c>
      <c r="J14" s="115" t="n">
        <v>61000</v>
      </c>
      <c r="K14" s="115" t="n">
        <v>107000</v>
      </c>
      <c r="L14" s="115" t="n">
        <v>118000</v>
      </c>
      <c r="M14" s="115" t="n">
        <v>118165.85</v>
      </c>
      <c r="N14" s="115" t="n">
        <v>114321.95</v>
      </c>
      <c r="O14" s="35" t="n">
        <f aca="false">SUM(C14:N14)</f>
        <v>1232487.8</v>
      </c>
    </row>
    <row r="15" customFormat="false" ht="15" hidden="false" customHeight="false" outlineLevel="0" collapsed="false">
      <c r="A15" s="0" t="s">
        <v>408</v>
      </c>
      <c r="B15" s="57" t="s">
        <v>2301</v>
      </c>
      <c r="C15" s="115" t="n">
        <v>629162.69</v>
      </c>
      <c r="D15" s="115" t="n">
        <v>654138.6</v>
      </c>
      <c r="E15" s="115" t="n">
        <v>711236.28</v>
      </c>
      <c r="F15" s="115" t="n">
        <v>682700.71</v>
      </c>
      <c r="G15" s="115" t="n">
        <v>691914.55</v>
      </c>
      <c r="H15" s="115" t="n">
        <v>758521.82</v>
      </c>
      <c r="I15" s="115" t="n">
        <v>673490.85</v>
      </c>
      <c r="J15" s="115" t="n">
        <v>546474.5</v>
      </c>
      <c r="K15" s="115" t="n">
        <v>764818.17</v>
      </c>
      <c r="L15" s="115" t="n">
        <v>804865.8</v>
      </c>
      <c r="M15" s="115" t="n">
        <v>747938.15</v>
      </c>
      <c r="N15" s="115" t="n">
        <v>724410.72</v>
      </c>
      <c r="O15" s="35" t="n">
        <f aca="false">SUM(C15:N15)</f>
        <v>8389672.84</v>
      </c>
    </row>
    <row r="16" customFormat="false" ht="15" hidden="false" customHeight="false" outlineLevel="0" collapsed="false">
      <c r="A16" s="21" t="s">
        <v>2302</v>
      </c>
      <c r="B16" s="22"/>
      <c r="C16" s="22"/>
      <c r="D16" s="22"/>
      <c r="E16" s="22"/>
      <c r="F16" s="22"/>
      <c r="G16" s="22"/>
      <c r="H16" s="22"/>
      <c r="I16" s="22"/>
      <c r="J16" s="22"/>
      <c r="K16" s="22"/>
      <c r="L16" s="22"/>
      <c r="M16" s="22"/>
      <c r="N16" s="22"/>
      <c r="O16" s="22"/>
    </row>
    <row r="17" customFormat="false" ht="15" hidden="false" customHeight="false" outlineLevel="0" collapsed="false">
      <c r="A17" s="0" t="s">
        <v>410</v>
      </c>
      <c r="B17" s="57" t="s">
        <v>2303</v>
      </c>
      <c r="C17" s="115" t="n">
        <v>201965.16</v>
      </c>
      <c r="D17" s="115" t="n">
        <v>211947.57</v>
      </c>
      <c r="E17" s="115" t="n">
        <v>247043.65</v>
      </c>
      <c r="F17" s="115" t="n">
        <v>226994.81</v>
      </c>
      <c r="G17" s="115" t="n">
        <v>237714.51</v>
      </c>
      <c r="H17" s="115" t="n">
        <v>277858.61</v>
      </c>
      <c r="I17" s="115" t="n">
        <v>222470.82</v>
      </c>
      <c r="J17" s="115" t="n">
        <v>145737.01</v>
      </c>
      <c r="K17" s="115" t="n">
        <v>281100.67</v>
      </c>
      <c r="L17" s="115" t="n">
        <v>305317.64</v>
      </c>
      <c r="M17" s="115" t="n">
        <v>255945.19</v>
      </c>
      <c r="N17" s="115" t="n">
        <v>236780.25</v>
      </c>
      <c r="O17" s="35" t="n">
        <f aca="false">SUM(C17:N17)</f>
        <v>2850875.89</v>
      </c>
    </row>
    <row r="18" customFormat="false" ht="15" hidden="false" customHeight="false" outlineLevel="0" collapsed="false">
      <c r="A18" s="0" t="s">
        <v>411</v>
      </c>
      <c r="B18" s="57" t="s">
        <v>2304</v>
      </c>
      <c r="C18" s="115" t="n">
        <v>66261.34</v>
      </c>
      <c r="D18" s="115" t="n">
        <v>72504.53</v>
      </c>
      <c r="E18" s="115" t="n">
        <v>73383.62</v>
      </c>
      <c r="F18" s="115" t="n">
        <v>73474.32</v>
      </c>
      <c r="G18" s="115" t="n">
        <v>73891.95</v>
      </c>
      <c r="H18" s="115" t="n">
        <v>74721.38</v>
      </c>
      <c r="I18" s="115" t="n">
        <v>74854.67</v>
      </c>
      <c r="J18" s="115" t="n">
        <v>75319.88</v>
      </c>
      <c r="K18" s="115" t="n">
        <v>75679.74</v>
      </c>
      <c r="L18" s="115" t="n">
        <v>75808.38</v>
      </c>
      <c r="M18" s="115" t="n">
        <v>76112.51</v>
      </c>
      <c r="N18" s="115" t="n">
        <v>75932.92</v>
      </c>
      <c r="O18" s="35" t="n">
        <f aca="false">SUM(C18:N18)</f>
        <v>887945.24</v>
      </c>
    </row>
    <row r="19" customFormat="false" ht="15" hidden="false" customHeight="false" outlineLevel="0" collapsed="false">
      <c r="A19" s="0" t="s">
        <v>2305</v>
      </c>
      <c r="B19" s="57" t="s">
        <v>2306</v>
      </c>
      <c r="C19" s="115" t="n">
        <v>20475.95</v>
      </c>
      <c r="D19" s="115" t="n">
        <v>20702.78</v>
      </c>
      <c r="E19" s="115" t="n">
        <v>20263.55</v>
      </c>
      <c r="F19" s="115" t="n">
        <v>19567.52</v>
      </c>
      <c r="G19" s="115" t="n">
        <v>19489.64</v>
      </c>
      <c r="H19" s="115" t="n">
        <v>19329.54</v>
      </c>
      <c r="I19" s="115" t="n">
        <v>19082.25</v>
      </c>
      <c r="J19" s="115" t="n">
        <v>19180.23</v>
      </c>
      <c r="K19" s="115" t="n">
        <v>19184.06</v>
      </c>
      <c r="L19" s="115" t="n">
        <v>19376.08</v>
      </c>
      <c r="M19" s="115" t="n">
        <v>19533.18</v>
      </c>
      <c r="N19" s="115" t="n">
        <v>19311.67</v>
      </c>
      <c r="O19" s="35" t="n">
        <f aca="false">SUM(C19:N19)</f>
        <v>235496.45</v>
      </c>
    </row>
    <row r="20" customFormat="false" ht="15" hidden="false" customHeight="false" outlineLevel="0" collapsed="false">
      <c r="A20" s="0" t="s">
        <v>413</v>
      </c>
      <c r="B20" s="57" t="s">
        <v>2307</v>
      </c>
      <c r="C20" s="115" t="n">
        <v>8795.4</v>
      </c>
      <c r="D20" s="115" t="n">
        <v>8810.7</v>
      </c>
      <c r="E20" s="115" t="n">
        <v>8828.7</v>
      </c>
      <c r="F20" s="115" t="n">
        <v>8830.5</v>
      </c>
      <c r="G20" s="115" t="n">
        <v>8830.5</v>
      </c>
      <c r="H20" s="115" t="n">
        <v>8843.1</v>
      </c>
      <c r="I20" s="115" t="n">
        <v>8843.1</v>
      </c>
      <c r="J20" s="115" t="n">
        <v>8843.1</v>
      </c>
      <c r="K20" s="115" t="n">
        <v>8853</v>
      </c>
      <c r="L20" s="115" t="n">
        <v>8853.9</v>
      </c>
      <c r="M20" s="115" t="n">
        <v>8855.7</v>
      </c>
      <c r="N20" s="115" t="n">
        <v>8856.6</v>
      </c>
      <c r="O20" s="35" t="n">
        <f aca="false">SUM(C20:N20)</f>
        <v>106044.3</v>
      </c>
    </row>
    <row r="21" customFormat="false" ht="15" hidden="false" customHeight="false" outlineLevel="0" collapsed="false">
      <c r="A21" s="0" t="s">
        <v>414</v>
      </c>
      <c r="B21" s="57" t="s">
        <v>2308</v>
      </c>
      <c r="C21" s="115" t="n">
        <v>5491.35</v>
      </c>
      <c r="D21" s="115" t="n">
        <v>5707.62</v>
      </c>
      <c r="E21" s="115" t="n">
        <v>5570.57</v>
      </c>
      <c r="F21" s="115" t="n">
        <v>5739.64</v>
      </c>
      <c r="G21" s="115" t="n">
        <v>5436.25</v>
      </c>
      <c r="H21" s="115" t="n">
        <v>5531.08</v>
      </c>
      <c r="I21" s="115" t="n">
        <v>5431.76</v>
      </c>
      <c r="J21" s="115" t="n">
        <v>5484.11</v>
      </c>
      <c r="K21" s="115" t="n">
        <v>5443.49</v>
      </c>
      <c r="L21" s="115" t="n">
        <v>5449.36</v>
      </c>
      <c r="M21" s="115" t="n">
        <v>5706.64</v>
      </c>
      <c r="N21" s="115" t="n">
        <v>5574.8</v>
      </c>
      <c r="O21" s="35" t="n">
        <f aca="false">SUM(C21:N21)</f>
        <v>66566.67</v>
      </c>
    </row>
    <row r="22" customFormat="false" ht="15" hidden="false" customHeight="false" outlineLevel="0" collapsed="false">
      <c r="A22" s="0" t="s">
        <v>600</v>
      </c>
      <c r="B22" s="57" t="s">
        <v>2309</v>
      </c>
      <c r="C22" s="115" t="n">
        <v>3900</v>
      </c>
      <c r="D22" s="115" t="n">
        <v>3900</v>
      </c>
      <c r="E22" s="115" t="n">
        <v>3900</v>
      </c>
      <c r="F22" s="115" t="n">
        <v>3900</v>
      </c>
      <c r="G22" s="115" t="n">
        <v>3900</v>
      </c>
      <c r="H22" s="115" t="n">
        <v>3900</v>
      </c>
      <c r="I22" s="115" t="n">
        <v>3900</v>
      </c>
      <c r="J22" s="115" t="n">
        <v>3900</v>
      </c>
      <c r="K22" s="115" t="n">
        <v>3900</v>
      </c>
      <c r="L22" s="115" t="n">
        <v>3900</v>
      </c>
      <c r="M22" s="115" t="n">
        <v>3900</v>
      </c>
      <c r="N22" s="115" t="n">
        <v>3900</v>
      </c>
      <c r="O22" s="35" t="n">
        <f aca="false">SUM(C22:N22)</f>
        <v>46800</v>
      </c>
    </row>
    <row r="23" customFormat="false" ht="15" hidden="false" customHeight="false" outlineLevel="0" collapsed="false">
      <c r="A23" s="0" t="s">
        <v>417</v>
      </c>
      <c r="B23" s="57" t="s">
        <v>2310</v>
      </c>
      <c r="C23" s="115" t="n">
        <v>107133.9</v>
      </c>
      <c r="D23" s="115" t="n">
        <v>106242.93</v>
      </c>
      <c r="E23" s="115" t="n">
        <v>106242.93</v>
      </c>
      <c r="F23" s="115" t="n">
        <v>102679.05</v>
      </c>
      <c r="G23" s="115" t="n">
        <v>105351.96</v>
      </c>
      <c r="H23" s="115" t="n">
        <v>102679.05</v>
      </c>
      <c r="I23" s="115" t="n">
        <v>98224.2</v>
      </c>
      <c r="J23" s="115" t="n">
        <v>91096.43</v>
      </c>
      <c r="K23" s="115" t="n">
        <v>103570.02</v>
      </c>
      <c r="L23" s="115" t="n">
        <v>106242.93</v>
      </c>
      <c r="M23" s="115" t="n">
        <v>107133.9</v>
      </c>
      <c r="N23" s="115" t="n">
        <v>102679.05</v>
      </c>
      <c r="O23" s="35" t="n">
        <f aca="false">SUM(C23:N23)</f>
        <v>1239276.35</v>
      </c>
    </row>
    <row r="24" customFormat="false" ht="15" hidden="false" customHeight="false" outlineLevel="0" collapsed="false">
      <c r="A24" s="0" t="s">
        <v>418</v>
      </c>
      <c r="B24" s="57" t="s">
        <v>2311</v>
      </c>
      <c r="C24" s="115" t="n">
        <v>42618.03</v>
      </c>
      <c r="D24" s="115" t="n">
        <v>42264.83</v>
      </c>
      <c r="E24" s="115" t="n">
        <v>42264.83</v>
      </c>
      <c r="F24" s="115" t="n">
        <v>40852.05</v>
      </c>
      <c r="G24" s="115" t="n">
        <v>41911.64</v>
      </c>
      <c r="H24" s="115" t="n">
        <v>40852.05</v>
      </c>
      <c r="I24" s="115" t="n">
        <v>39086.07</v>
      </c>
      <c r="J24" s="115" t="n">
        <v>36260.5</v>
      </c>
      <c r="K24" s="115" t="n">
        <v>41205.24</v>
      </c>
      <c r="L24" s="115" t="n">
        <v>42264.83</v>
      </c>
      <c r="M24" s="115" t="n">
        <v>42618.03</v>
      </c>
      <c r="N24" s="115" t="n">
        <v>40852.05</v>
      </c>
      <c r="O24" s="35" t="n">
        <f aca="false">SUM(C24:N24)</f>
        <v>493050.15</v>
      </c>
    </row>
    <row r="25" customFormat="false" ht="15" hidden="false" customHeight="false" outlineLevel="0" collapsed="false">
      <c r="A25" s="0" t="s">
        <v>2312</v>
      </c>
      <c r="B25" s="57" t="s">
        <v>2313</v>
      </c>
      <c r="C25" s="115" t="n">
        <v>456641.13</v>
      </c>
      <c r="D25" s="115" t="n">
        <v>472080.96</v>
      </c>
      <c r="E25" s="115" t="n">
        <v>507497.85</v>
      </c>
      <c r="F25" s="115" t="n">
        <v>482037.89</v>
      </c>
      <c r="G25" s="115" t="n">
        <v>496526.45</v>
      </c>
      <c r="H25" s="115" t="n">
        <v>533714.81</v>
      </c>
      <c r="I25" s="115" t="n">
        <v>471892.87</v>
      </c>
      <c r="J25" s="115" t="n">
        <v>385821.26</v>
      </c>
      <c r="K25" s="115" t="n">
        <v>538936.22</v>
      </c>
      <c r="L25" s="115" t="n">
        <v>567213.12</v>
      </c>
      <c r="M25" s="115" t="n">
        <v>519805.15</v>
      </c>
      <c r="N25" s="115" t="n">
        <v>493887.34</v>
      </c>
      <c r="O25" s="35" t="n">
        <f aca="false">SUM(C25:N25)</f>
        <v>5926055.05</v>
      </c>
    </row>
    <row r="26" customFormat="false" ht="15" hidden="false" customHeight="false" outlineLevel="0" collapsed="false">
      <c r="A26" s="0" t="s">
        <v>2314</v>
      </c>
      <c r="B26" s="57" t="s">
        <v>2315</v>
      </c>
      <c r="C26" s="115" t="n">
        <v>172521.56</v>
      </c>
      <c r="D26" s="115" t="n">
        <v>182057.64</v>
      </c>
      <c r="E26" s="115" t="n">
        <v>203738.43</v>
      </c>
      <c r="F26" s="115" t="n">
        <v>200662.82</v>
      </c>
      <c r="G26" s="115" t="n">
        <v>195388.1</v>
      </c>
      <c r="H26" s="115" t="n">
        <v>224807.01</v>
      </c>
      <c r="I26" s="115" t="n">
        <v>201597.98</v>
      </c>
      <c r="J26" s="115" t="n">
        <v>160653.24</v>
      </c>
      <c r="K26" s="115" t="n">
        <v>225881.95</v>
      </c>
      <c r="L26" s="115" t="n">
        <v>237652.68</v>
      </c>
      <c r="M26" s="115" t="n">
        <v>228133</v>
      </c>
      <c r="N26" s="115" t="n">
        <v>230523.38</v>
      </c>
      <c r="O26" s="35" t="n">
        <f aca="false">SUM(C26:N26)</f>
        <v>2463617.79</v>
      </c>
    </row>
    <row r="27" customFormat="false" ht="15" hidden="false" customHeight="false" outlineLevel="0" collapsed="false">
      <c r="A27" s="0" t="s">
        <v>424</v>
      </c>
      <c r="B27" s="57" t="s">
        <v>2316</v>
      </c>
      <c r="C27" s="115" t="n">
        <v>23060.92</v>
      </c>
      <c r="D27" s="115" t="n">
        <v>22943.23</v>
      </c>
      <c r="E27" s="115" t="n">
        <v>23144.15</v>
      </c>
      <c r="F27" s="115" t="n">
        <v>22300.91</v>
      </c>
      <c r="G27" s="115" t="n">
        <v>22908.83</v>
      </c>
      <c r="H27" s="115" t="n">
        <v>22599.84</v>
      </c>
      <c r="I27" s="115" t="n">
        <v>21364.49</v>
      </c>
      <c r="J27" s="115" t="n">
        <v>19467.32</v>
      </c>
      <c r="K27" s="115" t="n">
        <v>22805.75</v>
      </c>
      <c r="L27" s="115" t="n">
        <v>23482.28</v>
      </c>
      <c r="M27" s="115" t="n">
        <v>23374.55</v>
      </c>
      <c r="N27" s="115" t="n">
        <v>22354.82</v>
      </c>
      <c r="O27" s="35" t="n">
        <f aca="false">SUM(C27:N27)</f>
        <v>269807.09</v>
      </c>
    </row>
    <row r="28" customFormat="false" ht="15" hidden="false" customHeight="false" outlineLevel="0" collapsed="false">
      <c r="A28" s="0" t="s">
        <v>425</v>
      </c>
      <c r="B28" s="57" t="s">
        <v>2317</v>
      </c>
      <c r="C28" s="115" t="n">
        <v>33500.69</v>
      </c>
      <c r="D28" s="115" t="n">
        <v>33223.18</v>
      </c>
      <c r="E28" s="115" t="n">
        <v>33223.18</v>
      </c>
      <c r="F28" s="115" t="n">
        <v>32113.13</v>
      </c>
      <c r="G28" s="115" t="n">
        <v>32945.67</v>
      </c>
      <c r="H28" s="115" t="n">
        <v>32113.13</v>
      </c>
      <c r="I28" s="115" t="n">
        <v>30725.57</v>
      </c>
      <c r="J28" s="115" t="n">
        <v>28505.47</v>
      </c>
      <c r="K28" s="115" t="n">
        <v>32390.64</v>
      </c>
      <c r="L28" s="115" t="n">
        <v>33223.18</v>
      </c>
      <c r="M28" s="115" t="n">
        <v>33500.69</v>
      </c>
      <c r="N28" s="115" t="n">
        <v>32113.13</v>
      </c>
      <c r="O28" s="35" t="n">
        <f aca="false">SUM(C28:N28)</f>
        <v>387577.66</v>
      </c>
    </row>
    <row r="29" customFormat="false" ht="15" hidden="false" customHeight="false" outlineLevel="0" collapsed="false">
      <c r="A29" s="0" t="s">
        <v>75</v>
      </c>
      <c r="B29" s="57" t="s">
        <v>2318</v>
      </c>
      <c r="C29" s="115" t="n">
        <v>37104.05</v>
      </c>
      <c r="D29" s="115" t="n">
        <v>37353.19</v>
      </c>
      <c r="E29" s="115" t="n">
        <v>44927.43</v>
      </c>
      <c r="F29" s="115" t="n">
        <v>37690.59</v>
      </c>
      <c r="G29" s="115" t="n">
        <v>43553.57</v>
      </c>
      <c r="H29" s="115" t="n">
        <v>37420.87</v>
      </c>
      <c r="I29" s="115" t="n">
        <v>37536.59</v>
      </c>
      <c r="J29" s="115" t="n">
        <v>35134.83</v>
      </c>
      <c r="K29" s="115" t="n">
        <v>37479.53</v>
      </c>
      <c r="L29" s="115" t="n">
        <v>42199.61</v>
      </c>
      <c r="M29" s="115" t="n">
        <v>38143.74</v>
      </c>
      <c r="N29" s="115" t="n">
        <v>37467.66</v>
      </c>
      <c r="O29" s="35" t="n">
        <f aca="false">SUM(C29:N29)</f>
        <v>466011.66</v>
      </c>
    </row>
    <row r="30" customFormat="false" ht="15" hidden="false" customHeight="false" outlineLevel="0" collapsed="false">
      <c r="A30" s="0" t="s">
        <v>393</v>
      </c>
      <c r="B30" s="57" t="s">
        <v>2319</v>
      </c>
      <c r="C30" s="115" t="n">
        <v>78855.9</v>
      </c>
      <c r="D30" s="115" t="n">
        <v>88538.04</v>
      </c>
      <c r="E30" s="115" t="n">
        <v>102443.67</v>
      </c>
      <c r="F30" s="115" t="n">
        <v>108558.19</v>
      </c>
      <c r="G30" s="115" t="n">
        <v>95980.03</v>
      </c>
      <c r="H30" s="115" t="n">
        <v>132673.17</v>
      </c>
      <c r="I30" s="115" t="n">
        <v>111971.33</v>
      </c>
      <c r="J30" s="115" t="n">
        <v>77545.62</v>
      </c>
      <c r="K30" s="115" t="n">
        <v>133206.03</v>
      </c>
      <c r="L30" s="115" t="n">
        <v>138747.61</v>
      </c>
      <c r="M30" s="115" t="n">
        <v>133114.02</v>
      </c>
      <c r="N30" s="115" t="n">
        <v>138587.77</v>
      </c>
      <c r="O30" s="35" t="n">
        <f aca="false">SUM(C30:N30)</f>
        <v>1340221.38</v>
      </c>
    </row>
    <row r="31" customFormat="false" ht="15" hidden="false" customHeight="false" outlineLevel="0" collapsed="false">
      <c r="A31" s="0" t="s">
        <v>569</v>
      </c>
      <c r="B31" s="57" t="s">
        <v>2320</v>
      </c>
      <c r="C31" s="115" t="n">
        <v>9266.67</v>
      </c>
      <c r="D31" s="115" t="n">
        <v>9266.67</v>
      </c>
      <c r="E31" s="115" t="n">
        <v>9266.67</v>
      </c>
      <c r="F31" s="115" t="n">
        <v>9266.67</v>
      </c>
      <c r="G31" s="115" t="n">
        <v>9266.67</v>
      </c>
      <c r="H31" s="115" t="n">
        <v>9266.67</v>
      </c>
      <c r="I31" s="115" t="n">
        <v>9266.67</v>
      </c>
      <c r="J31" s="115" t="n">
        <v>9266.67</v>
      </c>
      <c r="K31" s="115" t="n">
        <v>9266.67</v>
      </c>
      <c r="L31" s="115" t="n">
        <v>9266.67</v>
      </c>
      <c r="M31" s="115" t="n">
        <v>9266.67</v>
      </c>
      <c r="N31" s="115" t="n">
        <v>9266.67</v>
      </c>
      <c r="O31" s="35" t="n">
        <f aca="false">SUM(C31:N31)</f>
        <v>111200.04</v>
      </c>
    </row>
    <row r="32" customFormat="false" ht="15" hidden="false" customHeight="false" outlineLevel="0" collapsed="false">
      <c r="A32" s="0" t="s">
        <v>440</v>
      </c>
      <c r="B32" s="57" t="s">
        <v>2321</v>
      </c>
      <c r="C32" s="115" t="n">
        <v>6304.17</v>
      </c>
      <c r="D32" s="115" t="n">
        <v>6180.56</v>
      </c>
      <c r="E32" s="115" t="n">
        <v>6056.94</v>
      </c>
      <c r="F32" s="115" t="n">
        <v>5933.33</v>
      </c>
      <c r="G32" s="115" t="n">
        <v>5809.72</v>
      </c>
      <c r="H32" s="115" t="n">
        <v>5686.11</v>
      </c>
      <c r="I32" s="115" t="n">
        <v>5562.5</v>
      </c>
      <c r="J32" s="115" t="n">
        <v>5438.89</v>
      </c>
      <c r="K32" s="115" t="n">
        <v>5315.28</v>
      </c>
      <c r="L32" s="115" t="n">
        <v>5191.67</v>
      </c>
      <c r="M32" s="115" t="n">
        <v>5068.06</v>
      </c>
      <c r="N32" s="115" t="n">
        <v>4944.44</v>
      </c>
      <c r="O32" s="35" t="n">
        <f aca="false">SUM(C32:N32)</f>
        <v>67491.67</v>
      </c>
    </row>
    <row r="33" customFormat="false" ht="15" hidden="false" customHeight="false" outlineLevel="0" collapsed="false">
      <c r="A33" s="0" t="s">
        <v>570</v>
      </c>
      <c r="B33" s="57" t="s">
        <v>2322</v>
      </c>
      <c r="C33" s="115" t="n">
        <v>0</v>
      </c>
      <c r="D33" s="115" t="n">
        <v>116.02</v>
      </c>
      <c r="E33" s="115" t="n">
        <v>754.78</v>
      </c>
      <c r="F33" s="115" t="n">
        <v>735.44</v>
      </c>
      <c r="G33" s="115" t="n">
        <v>111.04</v>
      </c>
      <c r="H33" s="115" t="n">
        <v>402.79</v>
      </c>
      <c r="I33" s="115" t="n">
        <v>266.51</v>
      </c>
      <c r="J33" s="115" t="n">
        <v>-75.47</v>
      </c>
      <c r="K33" s="115" t="n">
        <v>165.12</v>
      </c>
      <c r="L33" s="115" t="n">
        <v>-166.59</v>
      </c>
      <c r="M33" s="115" t="n">
        <v>-115.63</v>
      </c>
      <c r="N33" s="115" t="n">
        <v>243.58</v>
      </c>
      <c r="O33" s="35" t="n">
        <f aca="false">SUM(C33:N33)</f>
        <v>2437.59</v>
      </c>
    </row>
    <row r="34" customFormat="false" ht="15" hidden="false" customHeight="false" outlineLevel="0" collapsed="false">
      <c r="A34" s="0" t="s">
        <v>1479</v>
      </c>
      <c r="B34" s="57" t="s">
        <v>2323</v>
      </c>
      <c r="C34" s="115" t="n">
        <v>63285.06</v>
      </c>
      <c r="D34" s="115" t="n">
        <v>73206.83</v>
      </c>
      <c r="E34" s="115" t="n">
        <v>87874.84</v>
      </c>
      <c r="F34" s="115" t="n">
        <v>94093.63</v>
      </c>
      <c r="G34" s="115" t="n">
        <v>81014.68</v>
      </c>
      <c r="H34" s="115" t="n">
        <v>118123.18</v>
      </c>
      <c r="I34" s="115" t="n">
        <v>97408.67</v>
      </c>
      <c r="J34" s="115" t="n">
        <v>62764.59</v>
      </c>
      <c r="K34" s="115" t="n">
        <v>118789.2</v>
      </c>
      <c r="L34" s="115" t="n">
        <v>124122.68</v>
      </c>
      <c r="M34" s="115" t="n">
        <v>118663.66</v>
      </c>
      <c r="N34" s="115" t="n">
        <v>124620.24</v>
      </c>
      <c r="O34" s="35" t="n">
        <f aca="false">SUM(C34:N34)</f>
        <v>1163967.26</v>
      </c>
    </row>
    <row r="35" customFormat="false" ht="15" hidden="false" customHeight="false" outlineLevel="0" collapsed="false">
      <c r="A35" s="21" t="s">
        <v>2324</v>
      </c>
      <c r="B35" s="22"/>
      <c r="C35" s="22"/>
      <c r="D35" s="22"/>
      <c r="E35" s="22"/>
      <c r="F35" s="22"/>
      <c r="G35" s="22"/>
      <c r="H35" s="22"/>
      <c r="I35" s="22"/>
      <c r="J35" s="22"/>
      <c r="K35" s="22"/>
      <c r="L35" s="22"/>
      <c r="M35" s="22"/>
      <c r="N35" s="22"/>
      <c r="O35" s="22"/>
    </row>
    <row r="36" customFormat="false" ht="15" hidden="false" customHeight="false" outlineLevel="0" collapsed="false">
      <c r="A36" s="0" t="s">
        <v>2325</v>
      </c>
      <c r="B36" s="57" t="s">
        <v>2326</v>
      </c>
      <c r="C36" s="115" t="n">
        <v>3460</v>
      </c>
      <c r="D36" s="115" t="n">
        <v>3540</v>
      </c>
      <c r="E36" s="115" t="n">
        <v>3613</v>
      </c>
      <c r="F36" s="115" t="n">
        <v>3623</v>
      </c>
      <c r="G36" s="115" t="n">
        <v>3633</v>
      </c>
      <c r="H36" s="115" t="n">
        <v>3695</v>
      </c>
      <c r="I36" s="115" t="n">
        <v>3701</v>
      </c>
      <c r="J36" s="115" t="n">
        <v>3708</v>
      </c>
      <c r="K36" s="115" t="n">
        <v>3751</v>
      </c>
      <c r="L36" s="115" t="n">
        <v>3758</v>
      </c>
      <c r="M36" s="115" t="n">
        <v>3769</v>
      </c>
      <c r="N36" s="115" t="n">
        <v>3775</v>
      </c>
    </row>
    <row r="37" customFormat="false" ht="15" hidden="false" customHeight="false" outlineLevel="0" collapsed="false">
      <c r="A37" s="0" t="s">
        <v>2327</v>
      </c>
      <c r="B37" s="57" t="s">
        <v>2328</v>
      </c>
      <c r="C37" s="115" t="n">
        <v>1106</v>
      </c>
      <c r="D37" s="115" t="n">
        <v>1123</v>
      </c>
      <c r="E37" s="115" t="n">
        <v>1143</v>
      </c>
      <c r="F37" s="115" t="n">
        <v>1145</v>
      </c>
      <c r="G37" s="115" t="n">
        <v>1145</v>
      </c>
      <c r="H37" s="115" t="n">
        <v>1159</v>
      </c>
      <c r="I37" s="115" t="n">
        <v>1159</v>
      </c>
      <c r="J37" s="115" t="n">
        <v>1159</v>
      </c>
      <c r="K37" s="115" t="n">
        <v>1170</v>
      </c>
      <c r="L37" s="115" t="n">
        <v>1171</v>
      </c>
      <c r="M37" s="115" t="n">
        <v>1173</v>
      </c>
      <c r="N37" s="115" t="n">
        <v>1174</v>
      </c>
    </row>
    <row r="38" customFormat="false" ht="15" hidden="false" customHeight="false" outlineLevel="0" collapsed="false">
      <c r="A38" s="0" t="s">
        <v>2329</v>
      </c>
      <c r="B38" s="57" t="s">
        <v>2330</v>
      </c>
      <c r="C38" s="115" t="n">
        <v>198180.03</v>
      </c>
      <c r="D38" s="115" t="n">
        <v>203256.83</v>
      </c>
      <c r="E38" s="115" t="n">
        <v>208618.07</v>
      </c>
      <c r="F38" s="115" t="n">
        <v>209706.43</v>
      </c>
      <c r="G38" s="115" t="n">
        <v>210578.13</v>
      </c>
      <c r="H38" s="115" t="n">
        <v>214324.84</v>
      </c>
      <c r="I38" s="115" t="n">
        <v>214973.11</v>
      </c>
      <c r="J38" s="115" t="n">
        <v>216129.73</v>
      </c>
      <c r="K38" s="115" t="n">
        <v>219101.62</v>
      </c>
      <c r="L38" s="115" t="n">
        <v>220060.95</v>
      </c>
      <c r="M38" s="115" t="n">
        <v>220925.5</v>
      </c>
      <c r="N38" s="115" t="n">
        <v>221378</v>
      </c>
      <c r="O38" s="35" t="n">
        <f aca="false">SUM(C38:N38)</f>
        <v>2557233.24</v>
      </c>
    </row>
    <row r="39" customFormat="false" ht="15" hidden="false" customHeight="false" outlineLevel="0" collapsed="false">
      <c r="A39" s="0" t="s">
        <v>367</v>
      </c>
      <c r="B39" s="57" t="s">
        <v>2331</v>
      </c>
      <c r="C39" s="115" t="n">
        <v>1780</v>
      </c>
      <c r="D39" s="115" t="n">
        <v>1738</v>
      </c>
      <c r="E39" s="115" t="n">
        <v>1695</v>
      </c>
      <c r="F39" s="115" t="n">
        <v>1654</v>
      </c>
      <c r="G39" s="115" t="n">
        <v>1705</v>
      </c>
      <c r="H39" s="115" t="n">
        <v>1698</v>
      </c>
      <c r="I39" s="115" t="n">
        <v>1706</v>
      </c>
      <c r="J39" s="115" t="n">
        <v>1550</v>
      </c>
      <c r="K39" s="115" t="n">
        <v>1883</v>
      </c>
      <c r="L39" s="115" t="n">
        <v>1841</v>
      </c>
      <c r="M39" s="115" t="n">
        <v>1890</v>
      </c>
      <c r="N39" s="115" t="n">
        <v>1671</v>
      </c>
      <c r="O39" s="35" t="n">
        <f aca="false">SUM(C39:N39)</f>
        <v>20811</v>
      </c>
    </row>
    <row r="40" customFormat="false" ht="15" hidden="false" customHeight="false" outlineLevel="0" collapsed="false">
      <c r="A40" s="0" t="s">
        <v>368</v>
      </c>
      <c r="B40" s="57" t="s">
        <v>2332</v>
      </c>
      <c r="C40" s="137" t="n">
        <v>0.76</v>
      </c>
      <c r="D40" s="137" t="n">
        <v>0.77</v>
      </c>
      <c r="E40" s="137" t="n">
        <v>0.76</v>
      </c>
      <c r="F40" s="137" t="n">
        <v>0.78</v>
      </c>
      <c r="G40" s="137" t="n">
        <v>0.77</v>
      </c>
      <c r="H40" s="137" t="n">
        <v>0.8</v>
      </c>
      <c r="I40" s="137" t="n">
        <v>0.84</v>
      </c>
      <c r="J40" s="137" t="n">
        <v>0.87</v>
      </c>
      <c r="K40" s="137" t="n">
        <v>0.84</v>
      </c>
      <c r="L40" s="137" t="n">
        <v>0.81</v>
      </c>
      <c r="M40" s="137" t="n">
        <v>0.81</v>
      </c>
      <c r="N40" s="137" t="n">
        <v>0.8</v>
      </c>
      <c r="O40" s="37" t="n">
        <f aca="false">AVERAGE(C40:N40)</f>
        <v>0.800833333333333</v>
      </c>
    </row>
    <row r="41" customFormat="false" ht="15" hidden="false" customHeight="false" outlineLevel="0" collapsed="false">
      <c r="A41" s="0" t="s">
        <v>369</v>
      </c>
      <c r="B41" s="57" t="s">
        <v>2333</v>
      </c>
      <c r="C41" s="137" t="n">
        <v>0.98</v>
      </c>
      <c r="D41" s="137" t="n">
        <v>0.98</v>
      </c>
      <c r="E41" s="137" t="n">
        <v>0.98</v>
      </c>
      <c r="F41" s="137" t="n">
        <v>0.98</v>
      </c>
      <c r="G41" s="137" t="n">
        <v>0.98</v>
      </c>
      <c r="H41" s="137" t="n">
        <v>0.98</v>
      </c>
      <c r="I41" s="137" t="n">
        <v>0.96</v>
      </c>
      <c r="J41" s="137" t="n">
        <v>0.94</v>
      </c>
      <c r="K41" s="137" t="n">
        <v>0.96</v>
      </c>
      <c r="L41" s="137" t="n">
        <v>0.98</v>
      </c>
      <c r="M41" s="137" t="n">
        <v>0.98</v>
      </c>
      <c r="N41" s="137" t="n">
        <v>0.98</v>
      </c>
      <c r="O41" s="37" t="n">
        <f aca="false">AVERAGE(C41:N41)</f>
        <v>0.973333333333333</v>
      </c>
    </row>
    <row r="42" customFormat="false" ht="15" hidden="false" customHeight="false" outlineLevel="0" collapsed="false">
      <c r="A42" s="0" t="s">
        <v>370</v>
      </c>
      <c r="B42" s="57" t="s">
        <v>2334</v>
      </c>
      <c r="C42" s="115" t="n">
        <v>0</v>
      </c>
      <c r="D42" s="115" t="n">
        <v>0</v>
      </c>
      <c r="E42" s="115" t="n">
        <v>0</v>
      </c>
      <c r="F42" s="115" t="n">
        <v>0</v>
      </c>
      <c r="G42" s="115" t="n">
        <v>0</v>
      </c>
      <c r="H42" s="115" t="n">
        <v>0</v>
      </c>
      <c r="I42" s="115" t="n">
        <v>0</v>
      </c>
      <c r="J42" s="115" t="n">
        <v>1964.77</v>
      </c>
      <c r="K42" s="115" t="n">
        <v>0</v>
      </c>
      <c r="L42" s="115" t="n">
        <v>0</v>
      </c>
      <c r="M42" s="115" t="n">
        <v>0</v>
      </c>
      <c r="N42" s="115" t="n">
        <v>0</v>
      </c>
      <c r="O42" s="35" t="n">
        <f aca="false">SUM(C42:N42)</f>
        <v>1964.77</v>
      </c>
    </row>
    <row r="43" customFormat="false" ht="15" hidden="false" customHeight="false" outlineLevel="0" collapsed="false">
      <c r="A43" s="0" t="s">
        <v>372</v>
      </c>
      <c r="B43" s="57" t="s">
        <v>2335</v>
      </c>
      <c r="C43" s="166" t="n">
        <v>39</v>
      </c>
      <c r="D43" s="166" t="n">
        <v>39</v>
      </c>
      <c r="E43" s="166" t="n">
        <v>39</v>
      </c>
      <c r="F43" s="166" t="n">
        <v>39</v>
      </c>
      <c r="G43" s="166" t="n">
        <v>39</v>
      </c>
      <c r="H43" s="166" t="n">
        <v>39</v>
      </c>
      <c r="I43" s="166" t="n">
        <v>39</v>
      </c>
      <c r="J43" s="166" t="n">
        <v>39</v>
      </c>
      <c r="K43" s="166" t="n">
        <v>39</v>
      </c>
      <c r="L43" s="166" t="n">
        <v>39</v>
      </c>
      <c r="M43" s="166" t="n">
        <v>39</v>
      </c>
      <c r="N43" s="166" t="n">
        <v>39</v>
      </c>
    </row>
    <row r="44" customFormat="false" ht="15" hidden="false" customHeight="false" outlineLevel="0" collapsed="false">
      <c r="A44" s="0" t="s">
        <v>396</v>
      </c>
      <c r="B44" s="57" t="s">
        <v>2336</v>
      </c>
      <c r="C44" s="166" t="n">
        <v>68</v>
      </c>
      <c r="D44" s="166" t="n">
        <v>68</v>
      </c>
      <c r="E44" s="166" t="n">
        <v>68</v>
      </c>
      <c r="F44" s="166" t="n">
        <v>68</v>
      </c>
      <c r="G44" s="166" t="n">
        <v>68</v>
      </c>
      <c r="H44" s="166" t="n">
        <v>68</v>
      </c>
      <c r="I44" s="166" t="n">
        <v>68</v>
      </c>
      <c r="J44" s="166" t="n">
        <v>68</v>
      </c>
      <c r="K44" s="166" t="n">
        <v>68</v>
      </c>
      <c r="L44" s="166" t="n">
        <v>68</v>
      </c>
      <c r="M44" s="166" t="n">
        <v>68</v>
      </c>
      <c r="N44" s="166" t="n">
        <v>68</v>
      </c>
    </row>
    <row r="45" customFormat="false" ht="15" hidden="false" customHeight="false" outlineLevel="0" collapsed="false">
      <c r="A45" s="0" t="s">
        <v>2337</v>
      </c>
      <c r="B45" s="57" t="s">
        <v>2338</v>
      </c>
      <c r="C45" s="115" t="n">
        <v>228000</v>
      </c>
      <c r="D45" s="115" t="n">
        <v>12000</v>
      </c>
      <c r="E45" s="115" t="n">
        <v>18000</v>
      </c>
      <c r="F45" s="115" t="n">
        <v>14000</v>
      </c>
      <c r="G45" s="115" t="n">
        <v>9000</v>
      </c>
      <c r="H45" s="115" t="n">
        <v>16000</v>
      </c>
      <c r="I45" s="115" t="n">
        <v>11000</v>
      </c>
      <c r="J45" s="115" t="n">
        <v>6000</v>
      </c>
      <c r="K45" s="115" t="n">
        <v>22000</v>
      </c>
      <c r="L45" s="115" t="n">
        <v>15000</v>
      </c>
      <c r="M45" s="115" t="n">
        <v>12000</v>
      </c>
      <c r="N45" s="115" t="n">
        <v>25000</v>
      </c>
      <c r="O45" s="35" t="n">
        <f aca="false">SUM(C45:N45)</f>
        <v>388000</v>
      </c>
    </row>
    <row r="46" customFormat="false" ht="15" hidden="false" customHeight="false" outlineLevel="0" collapsed="false">
      <c r="A46" s="0" t="s">
        <v>2124</v>
      </c>
      <c r="B46" s="57" t="s">
        <v>2339</v>
      </c>
      <c r="C46" s="115" t="n">
        <v>52000</v>
      </c>
      <c r="D46" s="115" t="n">
        <v>55000</v>
      </c>
      <c r="E46" s="115" t="n">
        <v>71000</v>
      </c>
      <c r="F46" s="115" t="n">
        <v>58000</v>
      </c>
      <c r="G46" s="115" t="n">
        <v>60000</v>
      </c>
      <c r="H46" s="115" t="n">
        <v>64000</v>
      </c>
      <c r="I46" s="115" t="n">
        <v>57000</v>
      </c>
      <c r="J46" s="115" t="n">
        <v>41000</v>
      </c>
      <c r="K46" s="115" t="n">
        <v>66000</v>
      </c>
      <c r="L46" s="115" t="n">
        <v>72000</v>
      </c>
      <c r="M46" s="115" t="n">
        <v>78000</v>
      </c>
      <c r="N46" s="115" t="n">
        <v>96000</v>
      </c>
      <c r="O46" s="35" t="n">
        <f aca="false">SUM(C46:N46)</f>
        <v>770000</v>
      </c>
    </row>
    <row r="47" customFormat="false" ht="15" hidden="false" customHeight="false" outlineLevel="0" collapsed="false">
      <c r="A47" s="0" t="s">
        <v>1044</v>
      </c>
      <c r="B47" s="57" t="s">
        <v>2340</v>
      </c>
      <c r="C47" s="115" t="n">
        <v>184753.5</v>
      </c>
      <c r="D47" s="115" t="n">
        <v>236817.27</v>
      </c>
      <c r="E47" s="115" t="n">
        <v>256493.92</v>
      </c>
      <c r="F47" s="115" t="n">
        <v>225167.71</v>
      </c>
      <c r="G47" s="115" t="n">
        <v>247739.63</v>
      </c>
      <c r="H47" s="115" t="n">
        <v>308535.43</v>
      </c>
      <c r="I47" s="115" t="n">
        <v>197807.35</v>
      </c>
      <c r="J47" s="115" t="n">
        <v>107639.59</v>
      </c>
      <c r="K47" s="115" t="n">
        <v>352453.12</v>
      </c>
      <c r="L47" s="115" t="n">
        <v>321214.25</v>
      </c>
      <c r="M47" s="115" t="n">
        <v>247632.34</v>
      </c>
      <c r="N47" s="115" t="n">
        <v>215669.89</v>
      </c>
      <c r="O47" s="35" t="n">
        <f aca="false">SUM(C47:N47)</f>
        <v>2901924</v>
      </c>
    </row>
    <row r="48" customFormat="false" ht="15" hidden="false" customHeight="false" outlineLevel="0" collapsed="false">
      <c r="A48" s="0" t="s">
        <v>1064</v>
      </c>
      <c r="B48" s="57" t="s">
        <v>2341</v>
      </c>
      <c r="C48" s="115" t="n">
        <v>12669.48</v>
      </c>
      <c r="D48" s="115" t="n">
        <v>9164.74</v>
      </c>
      <c r="E48" s="115" t="n">
        <v>10247.72</v>
      </c>
      <c r="F48" s="115" t="n">
        <v>9026.23</v>
      </c>
      <c r="G48" s="115" t="n">
        <v>9539.02</v>
      </c>
      <c r="H48" s="115" t="n">
        <v>11353.35</v>
      </c>
      <c r="I48" s="115" t="n">
        <v>8283.93</v>
      </c>
      <c r="J48" s="115" t="n">
        <v>5501.8</v>
      </c>
      <c r="K48" s="115" t="n">
        <v>12669.19</v>
      </c>
      <c r="L48" s="115" t="n">
        <v>11885</v>
      </c>
      <c r="M48" s="115" t="n">
        <v>10141.68</v>
      </c>
      <c r="N48" s="115" t="n">
        <v>10116.62</v>
      </c>
      <c r="O48" s="35" t="n">
        <f aca="false">SUM(C48:N48)</f>
        <v>120598.76</v>
      </c>
    </row>
    <row r="49" customFormat="false" ht="15" hidden="false" customHeight="false" outlineLevel="0" collapsed="false">
      <c r="A49" s="0" t="s">
        <v>2342</v>
      </c>
      <c r="B49" s="57" t="s">
        <v>2343</v>
      </c>
      <c r="C49" s="115" t="n">
        <v>0</v>
      </c>
      <c r="D49" s="115" t="n">
        <v>0</v>
      </c>
      <c r="E49" s="115" t="n">
        <v>0</v>
      </c>
      <c r="F49" s="115" t="n">
        <v>0</v>
      </c>
      <c r="G49" s="115" t="n">
        <v>21450</v>
      </c>
      <c r="H49" s="115" t="n">
        <v>0</v>
      </c>
      <c r="I49" s="115" t="n">
        <v>47500</v>
      </c>
      <c r="J49" s="115" t="n">
        <v>0</v>
      </c>
      <c r="K49" s="115" t="n">
        <v>47500</v>
      </c>
      <c r="L49" s="115" t="n">
        <v>0</v>
      </c>
      <c r="M49" s="115" t="n">
        <v>0</v>
      </c>
      <c r="N49" s="115" t="n">
        <v>47500</v>
      </c>
      <c r="O49" s="35" t="n">
        <f aca="false">SUM(C49:N49)</f>
        <v>163950</v>
      </c>
    </row>
    <row r="50" customFormat="false" ht="15" hidden="false" customHeight="false" outlineLevel="0" collapsed="false">
      <c r="A50" s="0" t="s">
        <v>2344</v>
      </c>
      <c r="B50" s="57" t="s">
        <v>2345</v>
      </c>
      <c r="C50" s="115" t="n">
        <v>2600</v>
      </c>
      <c r="D50" s="115" t="n">
        <v>2600</v>
      </c>
      <c r="E50" s="115" t="n">
        <v>2600</v>
      </c>
      <c r="F50" s="115" t="n">
        <v>2600</v>
      </c>
      <c r="G50" s="115" t="n">
        <v>2600</v>
      </c>
      <c r="H50" s="115" t="n">
        <v>2600</v>
      </c>
      <c r="I50" s="115" t="n">
        <v>2600</v>
      </c>
      <c r="J50" s="115" t="n">
        <v>2600</v>
      </c>
      <c r="K50" s="115" t="n">
        <v>2600</v>
      </c>
      <c r="L50" s="115" t="n">
        <v>2600</v>
      </c>
      <c r="M50" s="115" t="n">
        <v>2600</v>
      </c>
      <c r="N50" s="115" t="n">
        <v>2600</v>
      </c>
      <c r="O50" s="35" t="n">
        <f aca="false">SUM(C50:N50)</f>
        <v>31200</v>
      </c>
    </row>
    <row r="51" customFormat="false" ht="15" hidden="false" customHeight="false" outlineLevel="0" collapsed="false">
      <c r="A51" s="0" t="s">
        <v>2346</v>
      </c>
      <c r="B51" s="57" t="s">
        <v>2347</v>
      </c>
      <c r="C51" s="115" t="n">
        <v>33333.33</v>
      </c>
      <c r="D51" s="115" t="n">
        <v>33333.33</v>
      </c>
      <c r="E51" s="115" t="n">
        <v>33333.33</v>
      </c>
      <c r="F51" s="115" t="n">
        <v>33333.33</v>
      </c>
      <c r="G51" s="115" t="n">
        <v>33333.33</v>
      </c>
      <c r="H51" s="115" t="n">
        <v>33333.33</v>
      </c>
      <c r="I51" s="115" t="n">
        <v>33333.33</v>
      </c>
      <c r="J51" s="115" t="n">
        <v>33333.33</v>
      </c>
      <c r="K51" s="115" t="n">
        <v>33333.33</v>
      </c>
      <c r="L51" s="115" t="n">
        <v>33333.33</v>
      </c>
      <c r="M51" s="115" t="n">
        <v>33333.33</v>
      </c>
      <c r="N51" s="115" t="n">
        <v>33333.33</v>
      </c>
      <c r="O51" s="35" t="n">
        <f aca="false">SUM(C51:N51)</f>
        <v>399999.96</v>
      </c>
    </row>
    <row r="53" customFormat="false" ht="15" hidden="false" customHeight="false" outlineLevel="0" collapsed="false">
      <c r="A53" s="21" t="s">
        <v>2348</v>
      </c>
      <c r="B53" s="22"/>
      <c r="C53" s="22"/>
      <c r="D53" s="22"/>
      <c r="E53" s="22"/>
      <c r="F53" s="22"/>
      <c r="G53" s="22"/>
      <c r="H53" s="22"/>
      <c r="I53" s="22"/>
      <c r="J53" s="22"/>
      <c r="K53" s="22"/>
      <c r="L53" s="22"/>
      <c r="M53" s="22"/>
      <c r="N53" s="22"/>
      <c r="O53" s="22"/>
    </row>
    <row r="54" customFormat="false" ht="15" hidden="false" customHeight="false" outlineLevel="0" collapsed="false">
      <c r="A54" s="0" t="s">
        <v>773</v>
      </c>
      <c r="B54" s="57" t="s">
        <v>2349</v>
      </c>
      <c r="C54" s="115" t="n">
        <v>21519.52</v>
      </c>
      <c r="D54" s="115" t="n">
        <v>21519.52</v>
      </c>
      <c r="E54" s="115" t="n">
        <v>22096</v>
      </c>
      <c r="F54" s="115" t="n">
        <v>22211.5</v>
      </c>
      <c r="G54" s="115" t="n">
        <v>22288.5</v>
      </c>
      <c r="H54" s="115" t="n">
        <v>22442.5</v>
      </c>
      <c r="I54" s="115" t="n">
        <v>22404</v>
      </c>
      <c r="J54" s="115" t="n">
        <v>22365.5</v>
      </c>
      <c r="K54" s="115" t="n">
        <v>22365.5</v>
      </c>
      <c r="L54" s="115" t="n">
        <v>22327</v>
      </c>
      <c r="M54" s="115" t="n">
        <v>22365.5</v>
      </c>
      <c r="N54" s="115" t="n">
        <v>22250</v>
      </c>
      <c r="O54" s="35" t="n">
        <f aca="false">SUM(C54:N54)</f>
        <v>266155.04</v>
      </c>
    </row>
    <row r="55" customFormat="false" ht="15" hidden="false" customHeight="false" outlineLevel="0" collapsed="false">
      <c r="A55" s="0" t="s">
        <v>775</v>
      </c>
      <c r="B55" s="57" t="s">
        <v>2350</v>
      </c>
      <c r="C55" s="115" t="n">
        <v>14450.74</v>
      </c>
      <c r="D55" s="115" t="n">
        <v>14579.52</v>
      </c>
      <c r="E55" s="115" t="n">
        <v>14622.44</v>
      </c>
      <c r="F55" s="115" t="n">
        <v>15032</v>
      </c>
      <c r="G55" s="115" t="n">
        <v>15076</v>
      </c>
      <c r="H55" s="115" t="n">
        <v>15178</v>
      </c>
      <c r="I55" s="115" t="n">
        <v>15266</v>
      </c>
      <c r="J55" s="115" t="n">
        <v>15266</v>
      </c>
      <c r="K55" s="115" t="n">
        <v>15266</v>
      </c>
      <c r="L55" s="115" t="n">
        <v>15310</v>
      </c>
      <c r="M55" s="115" t="n">
        <v>15456</v>
      </c>
      <c r="N55" s="115" t="n">
        <v>15500</v>
      </c>
      <c r="O55" s="35" t="n">
        <f aca="false">SUM(C55:N55)</f>
        <v>181002.7</v>
      </c>
    </row>
    <row r="56" customFormat="false" ht="15" hidden="false" customHeight="false" outlineLevel="0" collapsed="false">
      <c r="A56" s="0" t="s">
        <v>776</v>
      </c>
      <c r="B56" s="57" t="s">
        <v>2351</v>
      </c>
      <c r="C56" s="115" t="n">
        <v>7814.64</v>
      </c>
      <c r="D56" s="115" t="n">
        <v>7814.64</v>
      </c>
      <c r="E56" s="115" t="n">
        <v>7814.64</v>
      </c>
      <c r="F56" s="115" t="n">
        <v>7814.64</v>
      </c>
      <c r="G56" s="115" t="n">
        <v>7853.66</v>
      </c>
      <c r="H56" s="115" t="n">
        <v>7853.66</v>
      </c>
      <c r="I56" s="115" t="n">
        <v>7853.66</v>
      </c>
      <c r="J56" s="115" t="n">
        <v>7853.66</v>
      </c>
      <c r="K56" s="115" t="n">
        <v>7853.66</v>
      </c>
      <c r="L56" s="115" t="n">
        <v>8050</v>
      </c>
      <c r="M56" s="115" t="n">
        <v>8050</v>
      </c>
      <c r="N56" s="115" t="n">
        <v>8090</v>
      </c>
      <c r="O56" s="35" t="n">
        <f aca="false">SUM(C56:N56)</f>
        <v>94716.86</v>
      </c>
    </row>
    <row r="57" customFormat="false" ht="15" hidden="false" customHeight="false" outlineLevel="0" collapsed="false">
      <c r="A57" s="0" t="s">
        <v>777</v>
      </c>
      <c r="B57" s="57" t="s">
        <v>2352</v>
      </c>
      <c r="C57" s="115" t="n">
        <v>6263.42</v>
      </c>
      <c r="D57" s="115" t="n">
        <v>6263.42</v>
      </c>
      <c r="E57" s="115" t="n">
        <v>6420</v>
      </c>
      <c r="F57" s="115" t="n">
        <v>6472</v>
      </c>
      <c r="G57" s="115" t="n">
        <v>6472</v>
      </c>
      <c r="H57" s="115" t="n">
        <v>6472</v>
      </c>
      <c r="I57" s="115" t="n">
        <v>6472</v>
      </c>
      <c r="J57" s="115" t="n">
        <v>6524</v>
      </c>
      <c r="K57" s="115" t="n">
        <v>6524</v>
      </c>
      <c r="L57" s="115" t="n">
        <v>6472</v>
      </c>
      <c r="M57" s="115" t="n">
        <v>6524</v>
      </c>
      <c r="N57" s="115" t="n">
        <v>6524</v>
      </c>
      <c r="O57" s="35" t="n">
        <f aca="false">SUM(C57:N57)</f>
        <v>77402.84</v>
      </c>
    </row>
    <row r="58" customFormat="false" ht="15" hidden="false" customHeight="false" outlineLevel="0" collapsed="false">
      <c r="A58" s="0" t="s">
        <v>778</v>
      </c>
      <c r="B58" s="57" t="s">
        <v>2353</v>
      </c>
      <c r="C58" s="115" t="n">
        <v>12496.59</v>
      </c>
      <c r="D58" s="115" t="n">
        <v>12553.17</v>
      </c>
      <c r="E58" s="115" t="n">
        <v>12553.17</v>
      </c>
      <c r="F58" s="115" t="n">
        <v>12628.3</v>
      </c>
      <c r="G58" s="115" t="n">
        <v>12553.17</v>
      </c>
      <c r="H58" s="115" t="n">
        <v>12628.3</v>
      </c>
      <c r="I58" s="115" t="n">
        <v>12609.76</v>
      </c>
      <c r="J58" s="115" t="n">
        <v>12983</v>
      </c>
      <c r="K58" s="115" t="n">
        <v>12983</v>
      </c>
      <c r="L58" s="115" t="n">
        <v>13012</v>
      </c>
      <c r="M58" s="115" t="n">
        <v>13041</v>
      </c>
      <c r="N58" s="115" t="n">
        <v>13070</v>
      </c>
      <c r="O58" s="35" t="n">
        <f aca="false">SUM(C58:N58)</f>
        <v>153111.46</v>
      </c>
    </row>
    <row r="59" customFormat="false" ht="15" hidden="false" customHeight="false" outlineLevel="0" collapsed="false">
      <c r="A59" s="0" t="s">
        <v>779</v>
      </c>
      <c r="B59" s="57" t="s">
        <v>2354</v>
      </c>
      <c r="C59" s="115" t="n">
        <v>7178</v>
      </c>
      <c r="D59" s="115" t="n">
        <v>7178</v>
      </c>
      <c r="E59" s="115" t="n">
        <v>7238</v>
      </c>
      <c r="F59" s="115" t="n">
        <v>7238</v>
      </c>
      <c r="G59" s="115" t="n">
        <v>7238</v>
      </c>
      <c r="H59" s="115" t="n">
        <v>7279</v>
      </c>
      <c r="I59" s="115" t="n">
        <v>7279</v>
      </c>
      <c r="J59" s="115" t="n">
        <v>7320</v>
      </c>
      <c r="K59" s="115" t="n">
        <v>7279</v>
      </c>
      <c r="L59" s="115" t="n">
        <v>7320</v>
      </c>
      <c r="M59" s="115" t="n">
        <v>7320</v>
      </c>
      <c r="N59" s="115" t="n">
        <v>7320</v>
      </c>
      <c r="O59" s="35" t="n">
        <f aca="false">SUM(C59:N59)</f>
        <v>87187</v>
      </c>
    </row>
    <row r="60" customFormat="false" ht="15" hidden="false" customHeight="false" outlineLevel="0" collapsed="false">
      <c r="A60" s="0" t="s">
        <v>780</v>
      </c>
      <c r="B60" s="57" t="s">
        <v>2355</v>
      </c>
      <c r="C60" s="115" t="n">
        <v>5458.54</v>
      </c>
      <c r="D60" s="115" t="n">
        <v>5550</v>
      </c>
      <c r="E60" s="115" t="n">
        <v>5595</v>
      </c>
      <c r="F60" s="115" t="n">
        <v>5595</v>
      </c>
      <c r="G60" s="115" t="n">
        <v>5595</v>
      </c>
      <c r="H60" s="115" t="n">
        <v>5595</v>
      </c>
      <c r="I60" s="115" t="n">
        <v>5595</v>
      </c>
      <c r="J60" s="115" t="n">
        <v>5595</v>
      </c>
      <c r="K60" s="115" t="n">
        <v>5640</v>
      </c>
      <c r="L60" s="115" t="n">
        <v>5640</v>
      </c>
      <c r="M60" s="115" t="n">
        <v>5640</v>
      </c>
      <c r="N60" s="115" t="n">
        <v>5685</v>
      </c>
      <c r="O60" s="35" t="n">
        <f aca="false">SUM(C60:N60)</f>
        <v>67183.54</v>
      </c>
    </row>
    <row r="61" customFormat="false" ht="15" hidden="false" customHeight="false" outlineLevel="0" collapsed="false">
      <c r="A61" s="0" t="s">
        <v>781</v>
      </c>
      <c r="B61" s="57" t="s">
        <v>2356</v>
      </c>
      <c r="C61" s="115" t="n">
        <v>10623</v>
      </c>
      <c r="D61" s="115" t="n">
        <v>10701</v>
      </c>
      <c r="E61" s="115" t="n">
        <v>10746</v>
      </c>
      <c r="F61" s="115" t="n">
        <v>10785</v>
      </c>
      <c r="G61" s="115" t="n">
        <v>10908</v>
      </c>
      <c r="H61" s="115" t="n">
        <v>10908</v>
      </c>
      <c r="I61" s="115" t="n">
        <v>10908</v>
      </c>
      <c r="J61" s="115" t="n">
        <v>10908</v>
      </c>
      <c r="K61" s="115" t="n">
        <v>10947</v>
      </c>
      <c r="L61" s="115" t="n">
        <v>10986</v>
      </c>
      <c r="M61" s="115" t="n">
        <v>11070</v>
      </c>
      <c r="N61" s="115" t="n">
        <v>11070</v>
      </c>
      <c r="O61" s="35" t="n">
        <f aca="false">SUM(C61:N61)</f>
        <v>130560</v>
      </c>
    </row>
    <row r="62" customFormat="false" ht="15" hidden="false" customHeight="false" outlineLevel="0" collapsed="false">
      <c r="A62" s="0" t="s">
        <v>782</v>
      </c>
      <c r="B62" s="57" t="s">
        <v>2357</v>
      </c>
      <c r="C62" s="115" t="n">
        <v>7894.64</v>
      </c>
      <c r="D62" s="115" t="n">
        <v>7872.2</v>
      </c>
      <c r="E62" s="115" t="n">
        <v>7911.22</v>
      </c>
      <c r="F62" s="115" t="n">
        <v>8011.71</v>
      </c>
      <c r="G62" s="115" t="n">
        <v>8011.71</v>
      </c>
      <c r="H62" s="115" t="n">
        <v>8011.71</v>
      </c>
      <c r="I62" s="115" t="n">
        <v>8315</v>
      </c>
      <c r="J62" s="115" t="n">
        <v>8315</v>
      </c>
      <c r="K62" s="115" t="n">
        <v>8355</v>
      </c>
      <c r="L62" s="115" t="n">
        <v>8395</v>
      </c>
      <c r="M62" s="115" t="n">
        <v>8435</v>
      </c>
      <c r="N62" s="115" t="n">
        <v>8435</v>
      </c>
      <c r="O62" s="35" t="n">
        <f aca="false">SUM(C62:N62)</f>
        <v>97963.19</v>
      </c>
    </row>
    <row r="63" customFormat="false" ht="15" hidden="false" customHeight="false" outlineLevel="0" collapsed="false">
      <c r="A63" s="0" t="s">
        <v>783</v>
      </c>
      <c r="B63" s="57" t="s">
        <v>2358</v>
      </c>
      <c r="C63" s="115" t="n">
        <v>3648.78</v>
      </c>
      <c r="D63" s="115" t="n">
        <v>3648.78</v>
      </c>
      <c r="E63" s="115" t="n">
        <v>3648.78</v>
      </c>
      <c r="F63" s="115" t="n">
        <v>3648.78</v>
      </c>
      <c r="G63" s="115" t="n">
        <v>3697.56</v>
      </c>
      <c r="H63" s="115" t="n">
        <v>3697.56</v>
      </c>
      <c r="I63" s="115" t="n">
        <v>3697.56</v>
      </c>
      <c r="J63" s="115" t="n">
        <v>3746.34</v>
      </c>
      <c r="K63" s="115" t="n">
        <v>3746.34</v>
      </c>
      <c r="L63" s="115" t="n">
        <v>3790</v>
      </c>
      <c r="M63" s="115" t="n">
        <v>3840</v>
      </c>
      <c r="N63" s="115" t="n">
        <v>3840</v>
      </c>
      <c r="O63" s="35" t="n">
        <f aca="false">SUM(C63:N63)</f>
        <v>44650.48</v>
      </c>
    </row>
    <row r="64" customFormat="false" ht="15" hidden="false" customHeight="false" outlineLevel="0" collapsed="false">
      <c r="A64" s="0" t="s">
        <v>784</v>
      </c>
      <c r="B64" s="57" t="s">
        <v>2359</v>
      </c>
      <c r="C64" s="115" t="n">
        <v>7526.83</v>
      </c>
      <c r="D64" s="115" t="n">
        <v>7562.93</v>
      </c>
      <c r="E64" s="115" t="n">
        <v>7649.76</v>
      </c>
      <c r="F64" s="115" t="n">
        <v>7649.76</v>
      </c>
      <c r="G64" s="115" t="n">
        <v>7649.76</v>
      </c>
      <c r="H64" s="115" t="n">
        <v>7649.76</v>
      </c>
      <c r="I64" s="115" t="n">
        <v>7649.76</v>
      </c>
      <c r="J64" s="115" t="n">
        <v>7841</v>
      </c>
      <c r="K64" s="115" t="n">
        <v>7841</v>
      </c>
      <c r="L64" s="115" t="n">
        <v>7841</v>
      </c>
      <c r="M64" s="115" t="n">
        <v>7841</v>
      </c>
      <c r="N64" s="115" t="n">
        <v>7930</v>
      </c>
      <c r="O64" s="35" t="n">
        <f aca="false">SUM(C64:N64)</f>
        <v>92632.56</v>
      </c>
    </row>
    <row r="65" customFormat="false" ht="15" hidden="false" customHeight="false" outlineLevel="0" collapsed="false">
      <c r="A65" s="0" t="s">
        <v>785</v>
      </c>
      <c r="B65" s="57" t="s">
        <v>2360</v>
      </c>
      <c r="C65" s="115" t="n">
        <v>6502.44</v>
      </c>
      <c r="D65" s="115" t="n">
        <v>6502.44</v>
      </c>
      <c r="E65" s="115" t="n">
        <v>6462.44</v>
      </c>
      <c r="F65" s="115" t="n">
        <v>6462.44</v>
      </c>
      <c r="G65" s="115" t="n">
        <v>6502.44</v>
      </c>
      <c r="H65" s="115" t="n">
        <v>6502.44</v>
      </c>
      <c r="I65" s="115" t="n">
        <v>6502.44</v>
      </c>
      <c r="J65" s="115" t="n">
        <v>6502.44</v>
      </c>
      <c r="K65" s="115" t="n">
        <v>6502.44</v>
      </c>
      <c r="L65" s="115" t="n">
        <v>6542.44</v>
      </c>
      <c r="M65" s="115" t="n">
        <v>6706</v>
      </c>
      <c r="N65" s="115" t="n">
        <v>6706</v>
      </c>
      <c r="O65" s="35" t="n">
        <f aca="false">SUM(C65:N65)</f>
        <v>78396.4</v>
      </c>
    </row>
    <row r="66" customFormat="false" ht="15" hidden="false" customHeight="false" outlineLevel="0" collapsed="false">
      <c r="A66" s="0" t="s">
        <v>786</v>
      </c>
      <c r="B66" s="57" t="s">
        <v>2361</v>
      </c>
      <c r="C66" s="115" t="n">
        <v>0</v>
      </c>
      <c r="D66" s="115" t="n">
        <v>0</v>
      </c>
      <c r="E66" s="115" t="n">
        <v>4186</v>
      </c>
      <c r="F66" s="115" t="n">
        <v>4186</v>
      </c>
      <c r="G66" s="115" t="n">
        <v>4233</v>
      </c>
      <c r="H66" s="115" t="n">
        <v>4233</v>
      </c>
      <c r="I66" s="115" t="n">
        <v>4233</v>
      </c>
      <c r="J66" s="115" t="n">
        <v>4233</v>
      </c>
      <c r="K66" s="115" t="n">
        <v>4233</v>
      </c>
      <c r="L66" s="115" t="n">
        <v>4233</v>
      </c>
      <c r="M66" s="115" t="n">
        <v>4280</v>
      </c>
      <c r="N66" s="115" t="n">
        <v>4280</v>
      </c>
      <c r="O66" s="35" t="n">
        <f aca="false">SUM(C66:N66)</f>
        <v>42330</v>
      </c>
    </row>
    <row r="67" customFormat="false" ht="15" hidden="false" customHeight="false" outlineLevel="0" collapsed="false">
      <c r="A67" s="0" t="s">
        <v>787</v>
      </c>
      <c r="B67" s="57" t="s">
        <v>2362</v>
      </c>
      <c r="C67" s="115" t="n">
        <v>4894.64</v>
      </c>
      <c r="D67" s="115" t="n">
        <v>4894.64</v>
      </c>
      <c r="E67" s="115" t="n">
        <v>4894.64</v>
      </c>
      <c r="F67" s="115" t="n">
        <v>4932.68</v>
      </c>
      <c r="G67" s="115" t="n">
        <v>5017</v>
      </c>
      <c r="H67" s="115" t="n">
        <v>5056</v>
      </c>
      <c r="I67" s="115" t="n">
        <v>5056</v>
      </c>
      <c r="J67" s="115" t="n">
        <v>5056</v>
      </c>
      <c r="K67" s="115" t="n">
        <v>5095</v>
      </c>
      <c r="L67" s="115" t="n">
        <v>5095</v>
      </c>
      <c r="M67" s="115" t="n">
        <v>5134</v>
      </c>
      <c r="N67" s="115" t="n">
        <v>5134</v>
      </c>
      <c r="O67" s="35" t="n">
        <f aca="false">SUM(C67:N67)</f>
        <v>60259.6</v>
      </c>
    </row>
    <row r="68" customFormat="false" ht="15" hidden="false" customHeight="false" outlineLevel="0" collapsed="false">
      <c r="A68" s="0" t="s">
        <v>788</v>
      </c>
      <c r="B68" s="57" t="s">
        <v>2363</v>
      </c>
      <c r="C68" s="115" t="n">
        <v>4855.61</v>
      </c>
      <c r="D68" s="115" t="n">
        <v>4903.42</v>
      </c>
      <c r="E68" s="115" t="n">
        <v>4903.42</v>
      </c>
      <c r="F68" s="115" t="n">
        <v>4903.42</v>
      </c>
      <c r="G68" s="115" t="n">
        <v>5026</v>
      </c>
      <c r="H68" s="115" t="n">
        <v>5026</v>
      </c>
      <c r="I68" s="115" t="n">
        <v>5026</v>
      </c>
      <c r="J68" s="115" t="n">
        <v>5026</v>
      </c>
      <c r="K68" s="115" t="n">
        <v>5075</v>
      </c>
      <c r="L68" s="115" t="n">
        <v>5075</v>
      </c>
      <c r="M68" s="115" t="n">
        <v>5075</v>
      </c>
      <c r="N68" s="115" t="n">
        <v>5075</v>
      </c>
      <c r="O68" s="35" t="n">
        <f aca="false">SUM(C68:N68)</f>
        <v>59969.87</v>
      </c>
    </row>
    <row r="69" customFormat="false" ht="15" hidden="false" customHeight="false" outlineLevel="0" collapsed="false">
      <c r="A69" s="0" t="s">
        <v>789</v>
      </c>
      <c r="B69" s="57" t="s">
        <v>2364</v>
      </c>
      <c r="C69" s="115" t="n">
        <v>8511.22</v>
      </c>
      <c r="D69" s="115" t="n">
        <v>8490.73</v>
      </c>
      <c r="E69" s="115" t="n">
        <v>8490.73</v>
      </c>
      <c r="F69" s="115" t="n">
        <v>8490.73</v>
      </c>
      <c r="G69" s="115" t="n">
        <v>8490.73</v>
      </c>
      <c r="H69" s="115" t="n">
        <v>8546.34</v>
      </c>
      <c r="I69" s="115" t="n">
        <v>8546.34</v>
      </c>
      <c r="J69" s="115" t="n">
        <v>8581.47</v>
      </c>
      <c r="K69" s="115" t="n">
        <v>8546.34</v>
      </c>
      <c r="L69" s="115" t="n">
        <v>8724</v>
      </c>
      <c r="M69" s="115" t="n">
        <v>8724</v>
      </c>
      <c r="N69" s="115" t="n">
        <v>8724</v>
      </c>
      <c r="O69" s="35" t="n">
        <f aca="false">SUM(C69:N69)</f>
        <v>102866.63</v>
      </c>
    </row>
    <row r="70" customFormat="false" ht="15" hidden="false" customHeight="false" outlineLevel="0" collapsed="false">
      <c r="A70" s="0" t="s">
        <v>790</v>
      </c>
      <c r="B70" s="57" t="s">
        <v>2365</v>
      </c>
      <c r="C70" s="115" t="n">
        <v>7701.47</v>
      </c>
      <c r="D70" s="115" t="n">
        <v>7746.34</v>
      </c>
      <c r="E70" s="115" t="n">
        <v>7746.34</v>
      </c>
      <c r="F70" s="115" t="n">
        <v>7746.34</v>
      </c>
      <c r="G70" s="115" t="n">
        <v>7746.34</v>
      </c>
      <c r="H70" s="115" t="n">
        <v>7746.34</v>
      </c>
      <c r="I70" s="115" t="n">
        <v>7791.22</v>
      </c>
      <c r="J70" s="115" t="n">
        <v>8032</v>
      </c>
      <c r="K70" s="115" t="n">
        <v>8032</v>
      </c>
      <c r="L70" s="115" t="n">
        <v>8100</v>
      </c>
      <c r="M70" s="115" t="n">
        <v>8146</v>
      </c>
      <c r="N70" s="115" t="n">
        <v>8146</v>
      </c>
      <c r="O70" s="35" t="n">
        <f aca="false">SUM(C70:N70)</f>
        <v>94680.39</v>
      </c>
    </row>
    <row r="71" customFormat="false" ht="15" hidden="false" customHeight="false" outlineLevel="0" collapsed="false">
      <c r="A71" s="0" t="s">
        <v>791</v>
      </c>
      <c r="B71" s="57" t="s">
        <v>2366</v>
      </c>
      <c r="C71" s="115" t="n">
        <v>0</v>
      </c>
      <c r="D71" s="115" t="n">
        <v>0</v>
      </c>
      <c r="E71" s="115" t="n">
        <v>0</v>
      </c>
      <c r="F71" s="115" t="n">
        <v>0</v>
      </c>
      <c r="G71" s="115" t="n">
        <v>0</v>
      </c>
      <c r="H71" s="115" t="n">
        <v>3242</v>
      </c>
      <c r="I71" s="115" t="n">
        <v>3242</v>
      </c>
      <c r="J71" s="115" t="n">
        <v>3242</v>
      </c>
      <c r="K71" s="115" t="n">
        <v>3290</v>
      </c>
      <c r="L71" s="115" t="n">
        <v>3290</v>
      </c>
      <c r="M71" s="115" t="n">
        <v>3242</v>
      </c>
      <c r="N71" s="115" t="n">
        <v>3290</v>
      </c>
      <c r="O71" s="35" t="n">
        <f aca="false">SUM(C71:N71)</f>
        <v>22838</v>
      </c>
    </row>
    <row r="72" customFormat="false" ht="15" hidden="false" customHeight="false" outlineLevel="0" collapsed="false">
      <c r="A72" s="0" t="s">
        <v>792</v>
      </c>
      <c r="B72" s="57" t="s">
        <v>2367</v>
      </c>
      <c r="C72" s="115" t="n">
        <v>7504.39</v>
      </c>
      <c r="D72" s="115" t="n">
        <v>7654</v>
      </c>
      <c r="E72" s="115" t="n">
        <v>7714</v>
      </c>
      <c r="F72" s="115" t="n">
        <v>7714</v>
      </c>
      <c r="G72" s="115" t="n">
        <v>7714</v>
      </c>
      <c r="H72" s="115" t="n">
        <v>7752</v>
      </c>
      <c r="I72" s="115" t="n">
        <v>7752</v>
      </c>
      <c r="J72" s="115" t="n">
        <v>7752</v>
      </c>
      <c r="K72" s="115" t="n">
        <v>7790</v>
      </c>
      <c r="L72" s="115" t="n">
        <v>7790</v>
      </c>
      <c r="M72" s="115" t="n">
        <v>7790</v>
      </c>
      <c r="N72" s="115" t="n">
        <v>7790</v>
      </c>
      <c r="O72" s="35" t="n">
        <f aca="false">SUM(C72:N72)</f>
        <v>92716.39</v>
      </c>
    </row>
    <row r="73" customFormat="false" ht="15" hidden="false" customHeight="false" outlineLevel="0" collapsed="false">
      <c r="A73" s="0" t="s">
        <v>793</v>
      </c>
      <c r="B73" s="57" t="s">
        <v>2368</v>
      </c>
      <c r="C73" s="115" t="n">
        <v>7078</v>
      </c>
      <c r="D73" s="115" t="n">
        <v>7117</v>
      </c>
      <c r="E73" s="115" t="n">
        <v>7117</v>
      </c>
      <c r="F73" s="115" t="n">
        <v>7078</v>
      </c>
      <c r="G73" s="115" t="n">
        <v>7117</v>
      </c>
      <c r="H73" s="115" t="n">
        <v>7156</v>
      </c>
      <c r="I73" s="115" t="n">
        <v>7156</v>
      </c>
      <c r="J73" s="115" t="n">
        <v>7156</v>
      </c>
      <c r="K73" s="115" t="n">
        <v>7117</v>
      </c>
      <c r="L73" s="115" t="n">
        <v>7156</v>
      </c>
      <c r="M73" s="115" t="n">
        <v>7195</v>
      </c>
      <c r="N73" s="115" t="n">
        <v>7195</v>
      </c>
      <c r="O73" s="35" t="n">
        <f aca="false">SUM(C73:N73)</f>
        <v>85638</v>
      </c>
    </row>
    <row r="74" customFormat="false" ht="15" hidden="false" customHeight="false" outlineLevel="0" collapsed="false">
      <c r="A74" s="0" t="s">
        <v>794</v>
      </c>
      <c r="B74" s="57" t="s">
        <v>2369</v>
      </c>
      <c r="C74" s="115" t="n">
        <v>4068.29</v>
      </c>
      <c r="D74" s="115" t="n">
        <v>4109.27</v>
      </c>
      <c r="E74" s="115" t="n">
        <v>4068.29</v>
      </c>
      <c r="F74" s="115" t="n">
        <v>4109.27</v>
      </c>
      <c r="G74" s="115" t="n">
        <v>4109.27</v>
      </c>
      <c r="H74" s="115" t="n">
        <v>4068.29</v>
      </c>
      <c r="I74" s="115" t="n">
        <v>4170</v>
      </c>
      <c r="J74" s="115" t="n">
        <v>4170</v>
      </c>
      <c r="K74" s="115" t="n">
        <v>4170</v>
      </c>
      <c r="L74" s="115" t="n">
        <v>4170</v>
      </c>
      <c r="M74" s="115" t="n">
        <v>4170</v>
      </c>
      <c r="N74" s="115" t="n">
        <v>4170</v>
      </c>
      <c r="O74" s="35" t="n">
        <f aca="false">SUM(C74:N74)</f>
        <v>49552.68</v>
      </c>
    </row>
    <row r="75" customFormat="false" ht="15" hidden="false" customHeight="false" outlineLevel="0" collapsed="false">
      <c r="A75" s="0" t="s">
        <v>795</v>
      </c>
      <c r="B75" s="57" t="s">
        <v>2370</v>
      </c>
      <c r="C75" s="115" t="n">
        <v>5352.2</v>
      </c>
      <c r="D75" s="115" t="n">
        <v>5388.29</v>
      </c>
      <c r="E75" s="115" t="n">
        <v>5388.29</v>
      </c>
      <c r="F75" s="115" t="n">
        <v>5424.39</v>
      </c>
      <c r="G75" s="115" t="n">
        <v>5424.39</v>
      </c>
      <c r="H75" s="115" t="n">
        <v>5467.32</v>
      </c>
      <c r="I75" s="115" t="n">
        <v>5503.42</v>
      </c>
      <c r="J75" s="115" t="n">
        <v>5460.49</v>
      </c>
      <c r="K75" s="115" t="n">
        <v>5539.51</v>
      </c>
      <c r="L75" s="115" t="n">
        <v>5539.51</v>
      </c>
      <c r="M75" s="115" t="n">
        <v>5678</v>
      </c>
      <c r="N75" s="115" t="n">
        <v>5715</v>
      </c>
      <c r="O75" s="35" t="n">
        <f aca="false">SUM(C75:N75)</f>
        <v>65880.81</v>
      </c>
    </row>
    <row r="76" customFormat="false" ht="15" hidden="false" customHeight="false" outlineLevel="0" collapsed="false">
      <c r="A76" s="0" t="s">
        <v>796</v>
      </c>
      <c r="B76" s="57" t="s">
        <v>2371</v>
      </c>
      <c r="C76" s="115" t="n">
        <v>0</v>
      </c>
      <c r="D76" s="115" t="n">
        <v>0</v>
      </c>
      <c r="E76" s="115" t="n">
        <v>0</v>
      </c>
      <c r="F76" s="115" t="n">
        <v>0</v>
      </c>
      <c r="G76" s="115" t="n">
        <v>0</v>
      </c>
      <c r="H76" s="115" t="n">
        <v>0</v>
      </c>
      <c r="I76" s="115" t="n">
        <v>0</v>
      </c>
      <c r="J76" s="115" t="n">
        <v>0</v>
      </c>
      <c r="K76" s="115" t="n">
        <v>2728</v>
      </c>
      <c r="L76" s="115" t="n">
        <v>2728</v>
      </c>
      <c r="M76" s="115" t="n">
        <v>2728</v>
      </c>
      <c r="N76" s="115" t="n">
        <v>2728</v>
      </c>
      <c r="O76" s="35" t="n">
        <f aca="false">SUM(C76:N76)</f>
        <v>10912</v>
      </c>
    </row>
    <row r="77" customFormat="false" ht="15" hidden="false" customHeight="false" outlineLevel="0" collapsed="false">
      <c r="A77" s="0" t="s">
        <v>797</v>
      </c>
      <c r="B77" s="57" t="s">
        <v>2372</v>
      </c>
      <c r="C77" s="115" t="n">
        <v>8048.78</v>
      </c>
      <c r="D77" s="115" t="n">
        <v>8010.73</v>
      </c>
      <c r="E77" s="115" t="n">
        <v>8048.78</v>
      </c>
      <c r="F77" s="115" t="n">
        <v>8048.78</v>
      </c>
      <c r="G77" s="115" t="n">
        <v>8250</v>
      </c>
      <c r="H77" s="115" t="n">
        <v>8250</v>
      </c>
      <c r="I77" s="115" t="n">
        <v>8250</v>
      </c>
      <c r="J77" s="115" t="n">
        <v>8250</v>
      </c>
      <c r="K77" s="115" t="n">
        <v>8211</v>
      </c>
      <c r="L77" s="115" t="n">
        <v>8250</v>
      </c>
      <c r="M77" s="115" t="n">
        <v>8250</v>
      </c>
      <c r="N77" s="115" t="n">
        <v>8250</v>
      </c>
      <c r="O77" s="35" t="n">
        <f aca="false">SUM(C77:N77)</f>
        <v>98118.07</v>
      </c>
    </row>
    <row r="78" customFormat="false" ht="15" hidden="false" customHeight="false" outlineLevel="0" collapsed="false">
      <c r="A78" s="0" t="s">
        <v>798</v>
      </c>
      <c r="B78" s="57" t="s">
        <v>2373</v>
      </c>
      <c r="C78" s="115" t="n">
        <v>8600</v>
      </c>
      <c r="D78" s="115" t="n">
        <v>8558.05</v>
      </c>
      <c r="E78" s="115" t="n">
        <v>8662.44</v>
      </c>
      <c r="F78" s="115" t="n">
        <v>8836</v>
      </c>
      <c r="G78" s="115" t="n">
        <v>8793</v>
      </c>
      <c r="H78" s="115" t="n">
        <v>8793</v>
      </c>
      <c r="I78" s="115" t="n">
        <v>8793</v>
      </c>
      <c r="J78" s="115" t="n">
        <v>8793</v>
      </c>
      <c r="K78" s="115" t="n">
        <v>8814</v>
      </c>
      <c r="L78" s="115" t="n">
        <v>8900</v>
      </c>
      <c r="M78" s="115" t="n">
        <v>8900</v>
      </c>
      <c r="N78" s="115" t="n">
        <v>8900</v>
      </c>
      <c r="O78" s="35" t="n">
        <f aca="false">SUM(C78:N78)</f>
        <v>105342.49</v>
      </c>
    </row>
    <row r="79" customFormat="false" ht="15" hidden="false" customHeight="false" outlineLevel="0" collapsed="false">
      <c r="A79" s="0" t="s">
        <v>799</v>
      </c>
      <c r="B79" s="57" t="s">
        <v>2374</v>
      </c>
      <c r="C79" s="115" t="n">
        <v>5923.9</v>
      </c>
      <c r="D79" s="115" t="n">
        <v>5923.9</v>
      </c>
      <c r="E79" s="115" t="n">
        <v>5966.83</v>
      </c>
      <c r="F79" s="115" t="n">
        <v>5966.83</v>
      </c>
      <c r="G79" s="115" t="n">
        <v>6009.76</v>
      </c>
      <c r="H79" s="115" t="n">
        <v>6009.76</v>
      </c>
      <c r="I79" s="115" t="n">
        <v>6052.68</v>
      </c>
      <c r="J79" s="115" t="n">
        <v>6204</v>
      </c>
      <c r="K79" s="115" t="n">
        <v>6204</v>
      </c>
      <c r="L79" s="115" t="n">
        <v>6204</v>
      </c>
      <c r="M79" s="115" t="n">
        <v>6204</v>
      </c>
      <c r="N79" s="115" t="n">
        <v>6204</v>
      </c>
      <c r="O79" s="35" t="n">
        <f aca="false">SUM(C79:N79)</f>
        <v>72873.66</v>
      </c>
    </row>
    <row r="80" customFormat="false" ht="15" hidden="false" customHeight="false" outlineLevel="0" collapsed="false">
      <c r="A80" s="0" t="s">
        <v>800</v>
      </c>
      <c r="B80" s="57" t="s">
        <v>2375</v>
      </c>
      <c r="C80" s="115" t="n">
        <v>0</v>
      </c>
      <c r="D80" s="115" t="n">
        <v>4348</v>
      </c>
      <c r="E80" s="115" t="n">
        <v>4348</v>
      </c>
      <c r="F80" s="115" t="n">
        <v>4395</v>
      </c>
      <c r="G80" s="115" t="n">
        <v>4395</v>
      </c>
      <c r="H80" s="115" t="n">
        <v>4395</v>
      </c>
      <c r="I80" s="115" t="n">
        <v>4395</v>
      </c>
      <c r="J80" s="115" t="n">
        <v>4442</v>
      </c>
      <c r="K80" s="115" t="n">
        <v>4442</v>
      </c>
      <c r="L80" s="115" t="n">
        <v>4442</v>
      </c>
      <c r="M80" s="115" t="n">
        <v>4442</v>
      </c>
      <c r="N80" s="115" t="n">
        <v>4442</v>
      </c>
      <c r="O80" s="35" t="n">
        <f aca="false">SUM(C80:N80)</f>
        <v>48486</v>
      </c>
    </row>
    <row r="81" customFormat="false" ht="15" hidden="false" customHeight="false" outlineLevel="0" collapsed="false">
      <c r="A81" s="0" t="s">
        <v>801</v>
      </c>
      <c r="B81" s="57" t="s">
        <v>2376</v>
      </c>
      <c r="C81" s="115" t="n">
        <v>4789.27</v>
      </c>
      <c r="D81" s="115" t="n">
        <v>4789.27</v>
      </c>
      <c r="E81" s="115" t="n">
        <v>4789.27</v>
      </c>
      <c r="F81" s="115" t="n">
        <v>4789.27</v>
      </c>
      <c r="G81" s="115" t="n">
        <v>4829.27</v>
      </c>
      <c r="H81" s="115" t="n">
        <v>4829.27</v>
      </c>
      <c r="I81" s="115" t="n">
        <v>4829.27</v>
      </c>
      <c r="J81" s="115" t="n">
        <v>4886.83</v>
      </c>
      <c r="K81" s="115" t="n">
        <v>4886.83</v>
      </c>
      <c r="L81" s="115" t="n">
        <v>5009</v>
      </c>
      <c r="M81" s="115" t="n">
        <v>5009</v>
      </c>
      <c r="N81" s="115" t="n">
        <v>5050</v>
      </c>
      <c r="O81" s="35" t="n">
        <f aca="false">SUM(C81:N81)</f>
        <v>58486.55</v>
      </c>
    </row>
    <row r="82" customFormat="false" ht="15" hidden="false" customHeight="false" outlineLevel="0" collapsed="false">
      <c r="A82" s="0" t="s">
        <v>802</v>
      </c>
      <c r="B82" s="57" t="s">
        <v>2377</v>
      </c>
      <c r="C82" s="115" t="n">
        <v>5982.44</v>
      </c>
      <c r="D82" s="115" t="n">
        <v>6040.98</v>
      </c>
      <c r="E82" s="115" t="n">
        <v>6000</v>
      </c>
      <c r="F82" s="115" t="n">
        <v>6000</v>
      </c>
      <c r="G82" s="115" t="n">
        <v>6040.98</v>
      </c>
      <c r="H82" s="115" t="n">
        <v>6000</v>
      </c>
      <c r="I82" s="115" t="n">
        <v>6000</v>
      </c>
      <c r="J82" s="115" t="n">
        <v>6000</v>
      </c>
      <c r="K82" s="115" t="n">
        <v>6000</v>
      </c>
      <c r="L82" s="115" t="n">
        <v>6000</v>
      </c>
      <c r="M82" s="115" t="n">
        <v>6000</v>
      </c>
      <c r="N82" s="115" t="n">
        <v>6150</v>
      </c>
      <c r="O82" s="35" t="n">
        <f aca="false">SUM(C82:N82)</f>
        <v>72214.4</v>
      </c>
    </row>
    <row r="83" customFormat="false" ht="15" hidden="false" customHeight="false" outlineLevel="0" collapsed="false">
      <c r="A83" s="0" t="s">
        <v>803</v>
      </c>
      <c r="B83" s="57" t="s">
        <v>2378</v>
      </c>
      <c r="C83" s="115" t="n">
        <v>3492.68</v>
      </c>
      <c r="D83" s="115" t="n">
        <v>3536.59</v>
      </c>
      <c r="E83" s="115" t="n">
        <v>3536.59</v>
      </c>
      <c r="F83" s="115" t="n">
        <v>3536.59</v>
      </c>
      <c r="G83" s="115" t="n">
        <v>3536.59</v>
      </c>
      <c r="H83" s="115" t="n">
        <v>3536.59</v>
      </c>
      <c r="I83" s="115" t="n">
        <v>3625</v>
      </c>
      <c r="J83" s="115" t="n">
        <v>3625</v>
      </c>
      <c r="K83" s="115" t="n">
        <v>3625</v>
      </c>
      <c r="L83" s="115" t="n">
        <v>3670</v>
      </c>
      <c r="M83" s="115" t="n">
        <v>3670</v>
      </c>
      <c r="N83" s="115" t="n">
        <v>3715</v>
      </c>
      <c r="O83" s="35" t="n">
        <f aca="false">SUM(C83:N83)</f>
        <v>43105.63</v>
      </c>
    </row>
    <row r="84" customFormat="false" ht="15" hidden="false" customHeight="false" outlineLevel="0" collapsed="false">
      <c r="A84" s="0" t="s">
        <v>804</v>
      </c>
      <c r="B84" s="57" t="s">
        <v>2379</v>
      </c>
      <c r="C84" s="115" t="n">
        <v>0</v>
      </c>
      <c r="D84" s="115" t="n">
        <v>0</v>
      </c>
      <c r="E84" s="115" t="n">
        <v>0</v>
      </c>
      <c r="F84" s="115" t="n">
        <v>0</v>
      </c>
      <c r="G84" s="115" t="n">
        <v>0</v>
      </c>
      <c r="H84" s="115" t="n">
        <v>0</v>
      </c>
      <c r="I84" s="115" t="n">
        <v>0</v>
      </c>
      <c r="J84" s="115" t="n">
        <v>0</v>
      </c>
      <c r="K84" s="115" t="n">
        <v>0</v>
      </c>
      <c r="L84" s="115" t="n">
        <v>0</v>
      </c>
      <c r="M84" s="115" t="n">
        <v>0</v>
      </c>
      <c r="N84" s="115" t="n">
        <v>0</v>
      </c>
      <c r="O84" s="35" t="n">
        <f aca="false">SUM(C84:N84)</f>
        <v>0</v>
      </c>
    </row>
    <row r="85" customFormat="false" ht="15" hidden="false" customHeight="false" outlineLevel="0" collapsed="false">
      <c r="A85" s="0" t="s">
        <v>805</v>
      </c>
      <c r="B85" s="57" t="s">
        <v>2380</v>
      </c>
      <c r="C85" s="115" t="n">
        <v>0</v>
      </c>
      <c r="D85" s="115" t="n">
        <v>0</v>
      </c>
      <c r="E85" s="115" t="n">
        <v>0</v>
      </c>
      <c r="F85" s="115" t="n">
        <v>0</v>
      </c>
      <c r="G85" s="115" t="n">
        <v>0</v>
      </c>
      <c r="H85" s="115" t="n">
        <v>0</v>
      </c>
      <c r="I85" s="115" t="n">
        <v>0</v>
      </c>
      <c r="J85" s="115" t="n">
        <v>0</v>
      </c>
      <c r="K85" s="115" t="n">
        <v>0</v>
      </c>
      <c r="L85" s="115" t="n">
        <v>0</v>
      </c>
      <c r="M85" s="115" t="n">
        <v>0</v>
      </c>
      <c r="N85" s="115" t="n">
        <v>0</v>
      </c>
      <c r="O85" s="35" t="n">
        <f aca="false">SUM(C85:N85)</f>
        <v>0</v>
      </c>
    </row>
    <row r="86" customFormat="false" ht="15" hidden="false" customHeight="false" outlineLevel="0" collapsed="false">
      <c r="A86" s="0" t="s">
        <v>806</v>
      </c>
      <c r="B86" s="57" t="s">
        <v>2381</v>
      </c>
      <c r="C86" s="115" t="n">
        <v>0</v>
      </c>
      <c r="D86" s="115" t="n">
        <v>0</v>
      </c>
      <c r="E86" s="115" t="n">
        <v>0</v>
      </c>
      <c r="F86" s="115" t="n">
        <v>0</v>
      </c>
      <c r="G86" s="115" t="n">
        <v>0</v>
      </c>
      <c r="H86" s="115" t="n">
        <v>0</v>
      </c>
      <c r="I86" s="115" t="n">
        <v>0</v>
      </c>
      <c r="J86" s="115" t="n">
        <v>0</v>
      </c>
      <c r="K86" s="115" t="n">
        <v>0</v>
      </c>
      <c r="L86" s="115" t="n">
        <v>0</v>
      </c>
      <c r="M86" s="115" t="n">
        <v>0</v>
      </c>
      <c r="N86" s="115" t="n">
        <v>0</v>
      </c>
      <c r="O86" s="35" t="n">
        <f aca="false">SUM(C86:N86)</f>
        <v>0</v>
      </c>
    </row>
    <row r="87" customFormat="false" ht="15" hidden="false" customHeight="false" outlineLevel="0" collapsed="false">
      <c r="A87" s="0" t="s">
        <v>2382</v>
      </c>
      <c r="B87" s="57" t="s">
        <v>2383</v>
      </c>
      <c r="C87" s="115" t="n">
        <v>0</v>
      </c>
      <c r="D87" s="115" t="n">
        <v>0</v>
      </c>
      <c r="E87" s="115" t="n">
        <v>0</v>
      </c>
      <c r="F87" s="115" t="n">
        <v>0</v>
      </c>
      <c r="G87" s="115" t="n">
        <v>0</v>
      </c>
      <c r="H87" s="115" t="n">
        <v>0</v>
      </c>
      <c r="I87" s="115" t="n">
        <v>0</v>
      </c>
      <c r="J87" s="115" t="n">
        <v>0</v>
      </c>
      <c r="K87" s="115" t="n">
        <v>0</v>
      </c>
      <c r="L87" s="115" t="n">
        <v>0</v>
      </c>
      <c r="M87" s="115" t="n">
        <v>0</v>
      </c>
      <c r="N87" s="115" t="n">
        <v>0</v>
      </c>
      <c r="O87" s="35" t="n">
        <f aca="false">SUM(C87:N87)</f>
        <v>0</v>
      </c>
    </row>
    <row r="88" customFormat="false" ht="15" hidden="false" customHeight="false" outlineLevel="0" collapsed="false">
      <c r="A88" s="0" t="s">
        <v>2384</v>
      </c>
      <c r="B88" s="57" t="s">
        <v>2385</v>
      </c>
      <c r="C88" s="115" t="n">
        <v>0</v>
      </c>
      <c r="D88" s="115" t="n">
        <v>0</v>
      </c>
      <c r="E88" s="115" t="n">
        <v>0</v>
      </c>
      <c r="F88" s="115" t="n">
        <v>0</v>
      </c>
      <c r="G88" s="115" t="n">
        <v>0</v>
      </c>
      <c r="H88" s="115" t="n">
        <v>0</v>
      </c>
      <c r="I88" s="115" t="n">
        <v>0</v>
      </c>
      <c r="J88" s="115" t="n">
        <v>0</v>
      </c>
      <c r="K88" s="115" t="n">
        <v>0</v>
      </c>
      <c r="L88" s="115" t="n">
        <v>0</v>
      </c>
      <c r="M88" s="115" t="n">
        <v>0</v>
      </c>
      <c r="N88" s="115" t="n">
        <v>0</v>
      </c>
      <c r="O88" s="35" t="n">
        <f aca="false">SUM(C88:N88)</f>
        <v>0</v>
      </c>
    </row>
    <row r="89" customFormat="false" ht="15" hidden="false" customHeight="false" outlineLevel="0" collapsed="false">
      <c r="A89" s="0" t="s">
        <v>2386</v>
      </c>
      <c r="B89" s="57" t="s">
        <v>2387</v>
      </c>
      <c r="C89" s="115" t="n">
        <v>0</v>
      </c>
      <c r="D89" s="115" t="n">
        <v>0</v>
      </c>
      <c r="E89" s="115" t="n">
        <v>0</v>
      </c>
      <c r="F89" s="115" t="n">
        <v>0</v>
      </c>
      <c r="G89" s="115" t="n">
        <v>0</v>
      </c>
      <c r="H89" s="115" t="n">
        <v>0</v>
      </c>
      <c r="I89" s="115" t="n">
        <v>0</v>
      </c>
      <c r="J89" s="115" t="n">
        <v>0</v>
      </c>
      <c r="K89" s="115" t="n">
        <v>0</v>
      </c>
      <c r="L89" s="115" t="n">
        <v>0</v>
      </c>
      <c r="M89" s="115" t="n">
        <v>0</v>
      </c>
      <c r="N89" s="115" t="n">
        <v>0</v>
      </c>
      <c r="O89" s="35" t="n">
        <f aca="false">SUM(C89:N89)</f>
        <v>0</v>
      </c>
    </row>
    <row r="90" customFormat="false" ht="15" hidden="false" customHeight="false" outlineLevel="0" collapsed="false">
      <c r="A90" s="0" t="s">
        <v>2388</v>
      </c>
      <c r="B90" s="57" t="s">
        <v>2389</v>
      </c>
      <c r="C90" s="115" t="n">
        <v>0</v>
      </c>
      <c r="D90" s="115" t="n">
        <v>0</v>
      </c>
      <c r="E90" s="115" t="n">
        <v>0</v>
      </c>
      <c r="F90" s="115" t="n">
        <v>0</v>
      </c>
      <c r="G90" s="115" t="n">
        <v>0</v>
      </c>
      <c r="H90" s="115" t="n">
        <v>0</v>
      </c>
      <c r="I90" s="115" t="n">
        <v>0</v>
      </c>
      <c r="J90" s="115" t="n">
        <v>0</v>
      </c>
      <c r="K90" s="115" t="n">
        <v>0</v>
      </c>
      <c r="L90" s="115" t="n">
        <v>0</v>
      </c>
      <c r="M90" s="115" t="n">
        <v>0</v>
      </c>
      <c r="N90" s="115" t="n">
        <v>0</v>
      </c>
      <c r="O90" s="35" t="n">
        <f aca="false">SUM(C90:N90)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6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16" min="5" style="0" width="11.5"/>
  </cols>
  <sheetData>
    <row r="1" customFormat="false" ht="15" hidden="false" customHeight="false" outlineLevel="0" collapsed="false">
      <c r="A1" s="19" t="str">
        <f aca="false">Assumptions!$C$6</f>
        <v>Quelvora Sistemas, Lda (fictional demonstration company)</v>
      </c>
    </row>
    <row r="2" customFormat="false" ht="17.35" hidden="false" customHeight="false" outlineLevel="0" collapsed="false">
      <c r="A2" s="20" t="s">
        <v>2390</v>
      </c>
    </row>
    <row r="3" customFormat="false" ht="15" hidden="false" customHeight="false" outlineLevel="0" collapsed="false">
      <c r="A3" s="50" t="s">
        <v>2391</v>
      </c>
    </row>
    <row r="4" customFormat="false" ht="15" hidden="false" customHeight="false" outlineLevel="0" collapsed="false">
      <c r="A4" s="51" t="s">
        <v>345</v>
      </c>
      <c r="B4" s="51" t="s">
        <v>346</v>
      </c>
      <c r="C4" s="52" t="s">
        <v>347</v>
      </c>
      <c r="D4" s="52"/>
      <c r="E4" s="53" t="n">
        <f aca="false">Assumptions!E$200</f>
        <v>46053</v>
      </c>
      <c r="F4" s="53" t="n">
        <f aca="false">Assumptions!F$200</f>
        <v>46081</v>
      </c>
      <c r="G4" s="53" t="n">
        <f aca="false">Assumptions!G$200</f>
        <v>46112</v>
      </c>
      <c r="H4" s="53" t="n">
        <f aca="false">Assumptions!H$200</f>
        <v>46142</v>
      </c>
      <c r="I4" s="53" t="n">
        <f aca="false">Assumptions!I$200</f>
        <v>46173</v>
      </c>
      <c r="J4" s="53" t="n">
        <f aca="false">Assumptions!J$200</f>
        <v>46203</v>
      </c>
      <c r="K4" s="53" t="n">
        <f aca="false">Assumptions!K$200</f>
        <v>46234</v>
      </c>
      <c r="L4" s="53" t="n">
        <f aca="false">Assumptions!L$200</f>
        <v>46265</v>
      </c>
      <c r="M4" s="53" t="n">
        <f aca="false">Assumptions!M$200</f>
        <v>46295</v>
      </c>
      <c r="N4" s="53" t="n">
        <f aca="false">Assumptions!N$200</f>
        <v>46326</v>
      </c>
      <c r="O4" s="53" t="n">
        <f aca="false">Assumptions!O$200</f>
        <v>46356</v>
      </c>
      <c r="P4" s="53" t="n">
        <f aca="false">Assumptions!P$200</f>
        <v>46387</v>
      </c>
    </row>
    <row r="5" customFormat="false" ht="15" hidden="false" customHeight="false" outlineLevel="0" collapsed="false">
      <c r="A5" s="54" t="s">
        <v>349</v>
      </c>
      <c r="B5" s="55"/>
      <c r="C5" s="56" t="s">
        <v>350</v>
      </c>
      <c r="D5" s="56"/>
      <c r="E5" s="56" t="str">
        <f aca="false">Assumptions!E$202</f>
        <v>A</v>
      </c>
      <c r="F5" s="56" t="str">
        <f aca="false">Assumptions!F$202</f>
        <v>A</v>
      </c>
      <c r="G5" s="56" t="str">
        <f aca="false">Assumptions!G$202</f>
        <v>A</v>
      </c>
      <c r="H5" s="56" t="str">
        <f aca="false">Assumptions!H$202</f>
        <v>A</v>
      </c>
      <c r="I5" s="56" t="str">
        <f aca="false">Assumptions!I$202</f>
        <v>A</v>
      </c>
      <c r="J5" s="56" t="str">
        <f aca="false">Assumptions!J$202</f>
        <v>A</v>
      </c>
      <c r="K5" s="56" t="str">
        <f aca="false">Assumptions!K$202</f>
        <v>A</v>
      </c>
      <c r="L5" s="56" t="str">
        <f aca="false">Assumptions!L$202</f>
        <v>A</v>
      </c>
      <c r="M5" s="56" t="str">
        <f aca="false">Assumptions!M$202</f>
        <v>F</v>
      </c>
      <c r="N5" s="56" t="str">
        <f aca="false">Assumptions!N$202</f>
        <v>F</v>
      </c>
      <c r="O5" s="56" t="str">
        <f aca="false">Assumptions!O$202</f>
        <v>F</v>
      </c>
      <c r="P5" s="56" t="str">
        <f aca="false">Assumptions!P$202</f>
        <v>F</v>
      </c>
    </row>
    <row r="6" customFormat="false" ht="15" hidden="false" customHeight="false" outlineLevel="0" collapsed="false">
      <c r="A6" s="57" t="s">
        <v>352</v>
      </c>
      <c r="E6" s="58" t="n">
        <f aca="false">Assumptions!E$201</f>
        <v>1</v>
      </c>
      <c r="F6" s="58" t="n">
        <f aca="false">Assumptions!F$201</f>
        <v>2</v>
      </c>
      <c r="G6" s="58" t="n">
        <f aca="false">Assumptions!G$201</f>
        <v>3</v>
      </c>
      <c r="H6" s="58" t="n">
        <f aca="false">Assumptions!H$201</f>
        <v>4</v>
      </c>
      <c r="I6" s="58" t="n">
        <f aca="false">Assumptions!I$201</f>
        <v>5</v>
      </c>
      <c r="J6" s="58" t="n">
        <f aca="false">Assumptions!J$201</f>
        <v>6</v>
      </c>
      <c r="K6" s="58" t="n">
        <f aca="false">Assumptions!K$201</f>
        <v>7</v>
      </c>
      <c r="L6" s="58" t="n">
        <f aca="false">Assumptions!L$201</f>
        <v>8</v>
      </c>
      <c r="M6" s="58" t="n">
        <f aca="false">Assumptions!M$201</f>
        <v>9</v>
      </c>
      <c r="N6" s="58" t="n">
        <f aca="false">Assumptions!N$201</f>
        <v>10</v>
      </c>
      <c r="O6" s="58" t="n">
        <f aca="false">Assumptions!O$201</f>
        <v>11</v>
      </c>
      <c r="P6" s="58" t="n">
        <f aca="false">Assumptions!P$201</f>
        <v>12</v>
      </c>
    </row>
    <row r="8" customFormat="false" ht="15" hidden="false" customHeight="false" outlineLevel="0" collapsed="false">
      <c r="A8" s="21" t="s">
        <v>408</v>
      </c>
      <c r="B8" s="22"/>
      <c r="C8" s="22"/>
      <c r="D8" s="22"/>
      <c r="E8" s="22"/>
      <c r="F8" s="22"/>
      <c r="G8" s="22"/>
      <c r="H8" s="22"/>
      <c r="I8" s="22"/>
      <c r="J8" s="22"/>
      <c r="K8" s="22"/>
      <c r="L8" s="22"/>
      <c r="M8" s="22"/>
      <c r="N8" s="22"/>
      <c r="O8" s="22"/>
      <c r="P8" s="22"/>
    </row>
    <row r="9" customFormat="false" ht="15" hidden="false" customHeight="false" outlineLevel="0" collapsed="false">
      <c r="A9" s="27" t="s">
        <v>2392</v>
      </c>
      <c r="B9" s="63" t="s">
        <v>2393</v>
      </c>
      <c r="C9" s="66" t="n">
        <f aca="false">SUM(E9:P9)</f>
        <v>2629570.39</v>
      </c>
      <c r="E9" s="115" t="n">
        <v>214188.67</v>
      </c>
      <c r="F9" s="115" t="n">
        <v>215052.94</v>
      </c>
      <c r="G9" s="115" t="n">
        <v>216315.48</v>
      </c>
      <c r="H9" s="115" t="n">
        <v>217357.96</v>
      </c>
      <c r="I9" s="115" t="n">
        <v>218029.89</v>
      </c>
      <c r="J9" s="115" t="n">
        <v>218522.01</v>
      </c>
      <c r="K9" s="115" t="n">
        <v>219356.41</v>
      </c>
      <c r="L9" s="115" t="n">
        <v>220698.45</v>
      </c>
      <c r="M9" s="115" t="n">
        <v>221181.83</v>
      </c>
      <c r="N9" s="115" t="n">
        <v>222268.65</v>
      </c>
      <c r="O9" s="115" t="n">
        <v>223010.78</v>
      </c>
      <c r="P9" s="115" t="n">
        <v>223587.32</v>
      </c>
    </row>
    <row r="10" customFormat="false" ht="15" hidden="false" customHeight="false" outlineLevel="0" collapsed="false">
      <c r="A10" s="27" t="s">
        <v>2394</v>
      </c>
      <c r="B10" s="63" t="s">
        <v>2393</v>
      </c>
      <c r="C10" s="66" t="n">
        <f aca="false">SUM(E10:P10)</f>
        <v>101280.26</v>
      </c>
      <c r="E10" s="115" t="n">
        <v>8257.05</v>
      </c>
      <c r="F10" s="115" t="n">
        <v>8264.11</v>
      </c>
      <c r="G10" s="115" t="n">
        <v>8271.17</v>
      </c>
      <c r="H10" s="115" t="n">
        <v>8278.24</v>
      </c>
      <c r="I10" s="115" t="n">
        <v>8500.73</v>
      </c>
      <c r="J10" s="115" t="n">
        <v>8508</v>
      </c>
      <c r="K10" s="115" t="n">
        <v>8515.27</v>
      </c>
      <c r="L10" s="115" t="n">
        <v>8522.55</v>
      </c>
      <c r="M10" s="115" t="n">
        <v>8529.84</v>
      </c>
      <c r="N10" s="115" t="n">
        <v>8537.13</v>
      </c>
      <c r="O10" s="115" t="n">
        <v>8544.43</v>
      </c>
      <c r="P10" s="115" t="n">
        <v>8551.74</v>
      </c>
    </row>
    <row r="11" customFormat="false" ht="15" hidden="false" customHeight="false" outlineLevel="0" collapsed="false">
      <c r="A11" s="27" t="s">
        <v>2395</v>
      </c>
      <c r="B11" s="63" t="s">
        <v>2393</v>
      </c>
      <c r="C11" s="66" t="n">
        <f aca="false">SUM(E11:P11)</f>
        <v>162960</v>
      </c>
      <c r="E11" s="115" t="n">
        <v>0</v>
      </c>
      <c r="F11" s="115" t="n">
        <v>0</v>
      </c>
      <c r="G11" s="115" t="n">
        <v>5820</v>
      </c>
      <c r="H11" s="115" t="n">
        <v>5820</v>
      </c>
      <c r="I11" s="115" t="n">
        <v>11640</v>
      </c>
      <c r="J11" s="115" t="n">
        <v>11640</v>
      </c>
      <c r="K11" s="115" t="n">
        <v>17460</v>
      </c>
      <c r="L11" s="115" t="n">
        <v>17460</v>
      </c>
      <c r="M11" s="115" t="n">
        <v>23280</v>
      </c>
      <c r="N11" s="115" t="n">
        <v>23280</v>
      </c>
      <c r="O11" s="115" t="n">
        <v>23280</v>
      </c>
      <c r="P11" s="115" t="n">
        <v>23280</v>
      </c>
    </row>
    <row r="12" customFormat="false" ht="15" hidden="false" customHeight="false" outlineLevel="0" collapsed="false">
      <c r="A12" s="27" t="s">
        <v>401</v>
      </c>
      <c r="B12" s="63"/>
      <c r="C12" s="66" t="n">
        <f aca="false">SUM(E12:P12)</f>
        <v>2893810.65</v>
      </c>
      <c r="E12" s="76" t="n">
        <f aca="false">E9+E10+E11</f>
        <v>222445.72</v>
      </c>
      <c r="F12" s="76" t="n">
        <f aca="false">F9+F10+F11</f>
        <v>223317.05</v>
      </c>
      <c r="G12" s="76" t="n">
        <f aca="false">G9+G10+G11</f>
        <v>230406.65</v>
      </c>
      <c r="H12" s="76" t="n">
        <f aca="false">H9+H10+H11</f>
        <v>231456.2</v>
      </c>
      <c r="I12" s="76" t="n">
        <f aca="false">I9+I10+I11</f>
        <v>238170.62</v>
      </c>
      <c r="J12" s="76" t="n">
        <f aca="false">J9+J10+J11</f>
        <v>238670.01</v>
      </c>
      <c r="K12" s="76" t="n">
        <f aca="false">K9+K10+K11</f>
        <v>245331.68</v>
      </c>
      <c r="L12" s="76" t="n">
        <f aca="false">L9+L10+L11</f>
        <v>246681</v>
      </c>
      <c r="M12" s="76" t="n">
        <f aca="false">M9+M10+M11</f>
        <v>252991.67</v>
      </c>
      <c r="N12" s="76" t="n">
        <f aca="false">N9+N10+N11</f>
        <v>254085.78</v>
      </c>
      <c r="O12" s="76" t="n">
        <f aca="false">O9+O10+O11</f>
        <v>254835.21</v>
      </c>
      <c r="P12" s="76" t="n">
        <f aca="false">P9+P10+P11</f>
        <v>255419.06</v>
      </c>
    </row>
    <row r="13" customFormat="false" ht="15" hidden="false" customHeight="false" outlineLevel="0" collapsed="false">
      <c r="A13" s="27" t="s">
        <v>402</v>
      </c>
      <c r="B13" s="63" t="s">
        <v>2393</v>
      </c>
      <c r="C13" s="66" t="n">
        <f aca="false">SUM(E13:P13)</f>
        <v>-11575.24</v>
      </c>
      <c r="E13" s="115" t="n">
        <v>-889.78</v>
      </c>
      <c r="F13" s="115" t="n">
        <v>-893.27</v>
      </c>
      <c r="G13" s="115" t="n">
        <v>-921.63</v>
      </c>
      <c r="H13" s="115" t="n">
        <v>-925.82</v>
      </c>
      <c r="I13" s="115" t="n">
        <v>-952.68</v>
      </c>
      <c r="J13" s="115" t="n">
        <v>-954.68</v>
      </c>
      <c r="K13" s="115" t="n">
        <v>-981.33</v>
      </c>
      <c r="L13" s="115" t="n">
        <v>-986.72</v>
      </c>
      <c r="M13" s="115" t="n">
        <v>-1011.97</v>
      </c>
      <c r="N13" s="115" t="n">
        <v>-1016.34</v>
      </c>
      <c r="O13" s="115" t="n">
        <v>-1019.34</v>
      </c>
      <c r="P13" s="115" t="n">
        <v>-1021.68</v>
      </c>
    </row>
    <row r="14" customFormat="false" ht="15" hidden="false" customHeight="false" outlineLevel="0" collapsed="false">
      <c r="A14" s="27" t="s">
        <v>403</v>
      </c>
      <c r="B14" s="63" t="s">
        <v>2393</v>
      </c>
      <c r="C14" s="66" t="n">
        <f aca="false">SUM(E14:P14)</f>
        <v>6675</v>
      </c>
      <c r="E14" s="115" t="n">
        <v>293.75</v>
      </c>
      <c r="F14" s="115" t="n">
        <v>293.75</v>
      </c>
      <c r="G14" s="115" t="n">
        <v>406.25</v>
      </c>
      <c r="H14" s="115" t="n">
        <v>406.25</v>
      </c>
      <c r="I14" s="115" t="n">
        <v>518.75</v>
      </c>
      <c r="J14" s="115" t="n">
        <v>518.75</v>
      </c>
      <c r="K14" s="115" t="n">
        <v>631.25</v>
      </c>
      <c r="L14" s="115" t="n">
        <v>631.25</v>
      </c>
      <c r="M14" s="115" t="n">
        <v>743.75</v>
      </c>
      <c r="N14" s="115" t="n">
        <v>743.75</v>
      </c>
      <c r="O14" s="115" t="n">
        <v>743.75</v>
      </c>
      <c r="P14" s="115" t="n">
        <v>743.75</v>
      </c>
    </row>
    <row r="15" customFormat="false" ht="15" hidden="false" customHeight="false" outlineLevel="0" collapsed="false">
      <c r="A15" s="27" t="s">
        <v>404</v>
      </c>
      <c r="B15" s="63" t="s">
        <v>2393</v>
      </c>
      <c r="C15" s="66" t="n">
        <f aca="false">SUM(E15:P15)</f>
        <v>844203.58</v>
      </c>
      <c r="E15" s="115" t="n">
        <v>65918.34</v>
      </c>
      <c r="F15" s="115" t="n">
        <v>66057.65</v>
      </c>
      <c r="G15" s="115" t="n">
        <v>67765.57</v>
      </c>
      <c r="H15" s="115" t="n">
        <v>67905.59</v>
      </c>
      <c r="I15" s="115" t="n">
        <v>69614.21</v>
      </c>
      <c r="J15" s="115" t="n">
        <v>69754.93</v>
      </c>
      <c r="K15" s="115" t="n">
        <v>71464.26</v>
      </c>
      <c r="L15" s="115" t="n">
        <v>71605.7</v>
      </c>
      <c r="M15" s="115" t="n">
        <v>73315.74</v>
      </c>
      <c r="N15" s="115" t="n">
        <v>73457.9</v>
      </c>
      <c r="O15" s="115" t="n">
        <v>73600.41</v>
      </c>
      <c r="P15" s="115" t="n">
        <v>73743.28</v>
      </c>
    </row>
    <row r="16" customFormat="false" ht="15" hidden="false" customHeight="false" outlineLevel="0" collapsed="false">
      <c r="A16" s="27" t="s">
        <v>405</v>
      </c>
      <c r="B16" s="63" t="s">
        <v>2393</v>
      </c>
      <c r="C16" s="66" t="n">
        <f aca="false">SUM(E16:P16)</f>
        <v>403149.99</v>
      </c>
      <c r="E16" s="115" t="n">
        <v>33283.33</v>
      </c>
      <c r="F16" s="115" t="n">
        <v>33333.33</v>
      </c>
      <c r="G16" s="115" t="n">
        <v>33408.33</v>
      </c>
      <c r="H16" s="115" t="n">
        <v>33466.67</v>
      </c>
      <c r="I16" s="115" t="n">
        <v>33504.17</v>
      </c>
      <c r="J16" s="115" t="n">
        <v>33570.83</v>
      </c>
      <c r="K16" s="115" t="n">
        <v>33616.67</v>
      </c>
      <c r="L16" s="115" t="n">
        <v>33641.67</v>
      </c>
      <c r="M16" s="115" t="n">
        <v>33733.33</v>
      </c>
      <c r="N16" s="115" t="n">
        <v>33795.83</v>
      </c>
      <c r="O16" s="115" t="n">
        <v>33845.83</v>
      </c>
      <c r="P16" s="115" t="n">
        <v>33950</v>
      </c>
    </row>
    <row r="17" customFormat="false" ht="15" hidden="false" customHeight="false" outlineLevel="0" collapsed="false">
      <c r="A17" s="27" t="s">
        <v>406</v>
      </c>
      <c r="B17" s="63" t="s">
        <v>2393</v>
      </c>
      <c r="C17" s="66" t="n">
        <f aca="false">SUM(E17:P17)</f>
        <v>108993.5</v>
      </c>
      <c r="E17" s="115" t="n">
        <v>7360.6</v>
      </c>
      <c r="F17" s="115" t="n">
        <v>7785.25</v>
      </c>
      <c r="G17" s="115" t="n">
        <v>10050.05</v>
      </c>
      <c r="H17" s="115" t="n">
        <v>8209.9</v>
      </c>
      <c r="I17" s="115" t="n">
        <v>8493</v>
      </c>
      <c r="J17" s="115" t="n">
        <v>9059.2</v>
      </c>
      <c r="K17" s="115" t="n">
        <v>8068.35</v>
      </c>
      <c r="L17" s="115" t="n">
        <v>5803.55</v>
      </c>
      <c r="M17" s="115" t="n">
        <v>9342.3</v>
      </c>
      <c r="N17" s="115" t="n">
        <v>10191.6</v>
      </c>
      <c r="O17" s="115" t="n">
        <v>11040.9</v>
      </c>
      <c r="P17" s="115" t="n">
        <v>13588.8</v>
      </c>
    </row>
    <row r="18" customFormat="false" ht="15" hidden="false" customHeight="false" outlineLevel="0" collapsed="false">
      <c r="A18" s="27" t="s">
        <v>407</v>
      </c>
      <c r="B18" s="63" t="s">
        <v>2393</v>
      </c>
      <c r="C18" s="66" t="n">
        <f aca="false">SUM(E18:P18)</f>
        <v>2750000.02</v>
      </c>
      <c r="E18" s="115" t="n">
        <v>194328.98</v>
      </c>
      <c r="F18" s="115" t="n">
        <v>204943.59</v>
      </c>
      <c r="G18" s="115" t="n">
        <v>238420.43</v>
      </c>
      <c r="H18" s="115" t="n">
        <v>218824.23</v>
      </c>
      <c r="I18" s="115" t="n">
        <v>229438.84</v>
      </c>
      <c r="J18" s="115" t="n">
        <v>268631.24</v>
      </c>
      <c r="K18" s="115" t="n">
        <v>213925.18</v>
      </c>
      <c r="L18" s="115" t="n">
        <v>139622.92</v>
      </c>
      <c r="M18" s="115" t="n">
        <v>272713.78</v>
      </c>
      <c r="N18" s="115" t="n">
        <v>294759.5</v>
      </c>
      <c r="O18" s="115" t="n">
        <v>246585.51</v>
      </c>
      <c r="P18" s="115" t="n">
        <v>227805.82</v>
      </c>
    </row>
    <row r="19" customFormat="false" ht="15" hidden="false" customHeight="false" outlineLevel="0" collapsed="false">
      <c r="A19" s="27" t="s">
        <v>51</v>
      </c>
      <c r="B19" s="63" t="s">
        <v>2393</v>
      </c>
      <c r="C19" s="66" t="n">
        <f aca="false">SUM(E19:P19)</f>
        <v>1220000</v>
      </c>
      <c r="E19" s="115" t="n">
        <v>96078.75</v>
      </c>
      <c r="F19" s="115" t="n">
        <v>101082.85</v>
      </c>
      <c r="G19" s="115" t="n">
        <v>108088.6</v>
      </c>
      <c r="H19" s="115" t="n">
        <v>104085.32</v>
      </c>
      <c r="I19" s="115" t="n">
        <v>99081.21</v>
      </c>
      <c r="J19" s="115" t="n">
        <v>112091.88</v>
      </c>
      <c r="K19" s="115" t="n">
        <v>94077.11</v>
      </c>
      <c r="L19" s="115" t="n">
        <v>61050.04</v>
      </c>
      <c r="M19" s="115" t="n">
        <v>107087.78</v>
      </c>
      <c r="N19" s="115" t="n">
        <v>118096.8</v>
      </c>
      <c r="O19" s="115" t="n">
        <v>112091.88</v>
      </c>
      <c r="P19" s="115" t="n">
        <v>107087.78</v>
      </c>
    </row>
    <row r="20" customFormat="false" ht="15" hidden="false" customHeight="false" outlineLevel="0" collapsed="false">
      <c r="A20" s="59" t="s">
        <v>408</v>
      </c>
      <c r="B20" s="60"/>
      <c r="C20" s="61" t="n">
        <f aca="false">SUM(E20:P20)</f>
        <v>8215257.5</v>
      </c>
      <c r="D20" s="167"/>
      <c r="E20" s="61" t="n">
        <f aca="false">E12+E13+E14+E15+E16+E17+E18+E19</f>
        <v>618819.69</v>
      </c>
      <c r="F20" s="61" t="n">
        <f aca="false">F12+F13+F14+F15+F16+F17+F18+F19</f>
        <v>635920.2</v>
      </c>
      <c r="G20" s="61" t="n">
        <f aca="false">G12+G13+G14+G15+G16+G17+G18+G19</f>
        <v>687624.25</v>
      </c>
      <c r="H20" s="61" t="n">
        <f aca="false">H12+H13+H14+H15+H16+H17+H18+H19</f>
        <v>663428.34</v>
      </c>
      <c r="I20" s="61" t="n">
        <f aca="false">I12+I13+I14+I15+I16+I17+I18+I19</f>
        <v>677868.12</v>
      </c>
      <c r="J20" s="61" t="n">
        <f aca="false">J12+J13+J14+J15+J16+J17+J18+J19</f>
        <v>731342.16</v>
      </c>
      <c r="K20" s="61" t="n">
        <f aca="false">K12+K13+K14+K15+K16+K17+K18+K19</f>
        <v>666133.17</v>
      </c>
      <c r="L20" s="61" t="n">
        <f aca="false">L12+L13+L14+L15+L16+L17+L18+L19</f>
        <v>558049.41</v>
      </c>
      <c r="M20" s="61" t="n">
        <f aca="false">M12+M13+M14+M15+M16+M17+M18+M19</f>
        <v>748916.38</v>
      </c>
      <c r="N20" s="61" t="n">
        <f aca="false">N12+N13+N14+N15+N16+N17+N18+N19</f>
        <v>784114.82</v>
      </c>
      <c r="O20" s="61" t="n">
        <f aca="false">O12+O13+O14+O15+O16+O17+O18+O19</f>
        <v>731724.15</v>
      </c>
      <c r="P20" s="61" t="n">
        <f aca="false">P12+P13+P14+P15+P16+P17+P18+P19</f>
        <v>711316.81</v>
      </c>
    </row>
    <row r="21" customFormat="false" ht="15" hidden="false" customHeight="false" outlineLevel="0" collapsed="false">
      <c r="A21" s="21" t="s">
        <v>2396</v>
      </c>
      <c r="B21" s="22"/>
      <c r="C21" s="22"/>
      <c r="D21" s="22"/>
      <c r="E21" s="22"/>
      <c r="F21" s="22"/>
      <c r="G21" s="22"/>
      <c r="H21" s="22"/>
      <c r="I21" s="22"/>
      <c r="J21" s="22"/>
      <c r="K21" s="22"/>
      <c r="L21" s="22"/>
      <c r="M21" s="22"/>
      <c r="N21" s="22"/>
      <c r="O21" s="22"/>
      <c r="P21" s="22"/>
    </row>
    <row r="22" customFormat="false" ht="15" hidden="false" customHeight="false" outlineLevel="0" collapsed="false">
      <c r="A22" s="27" t="s">
        <v>410</v>
      </c>
      <c r="B22" s="63" t="s">
        <v>2393</v>
      </c>
      <c r="C22" s="66" t="n">
        <f aca="false">SUM(E22:P22)</f>
        <v>-2324643.75</v>
      </c>
      <c r="E22" s="115" t="n">
        <v>-164271.14</v>
      </c>
      <c r="F22" s="115" t="n">
        <v>-173243.94</v>
      </c>
      <c r="G22" s="115" t="n">
        <v>-201542.75</v>
      </c>
      <c r="H22" s="115" t="n">
        <v>-184977.59</v>
      </c>
      <c r="I22" s="115" t="n">
        <v>-193950.38</v>
      </c>
      <c r="J22" s="115" t="n">
        <v>-227080.7</v>
      </c>
      <c r="K22" s="115" t="n">
        <v>-180836.3</v>
      </c>
      <c r="L22" s="115" t="n">
        <v>-118026.75</v>
      </c>
      <c r="M22" s="115" t="n">
        <v>-230531.77</v>
      </c>
      <c r="N22" s="115" t="n">
        <v>-249167.58</v>
      </c>
      <c r="O22" s="115" t="n">
        <v>-208444.9</v>
      </c>
      <c r="P22" s="115" t="n">
        <v>-192569.95</v>
      </c>
    </row>
    <row r="23" customFormat="false" ht="15" hidden="false" customHeight="false" outlineLevel="0" collapsed="false">
      <c r="A23" s="27" t="s">
        <v>411</v>
      </c>
      <c r="B23" s="63" t="s">
        <v>2393</v>
      </c>
      <c r="C23" s="66" t="n">
        <f aca="false">SUM(E23:P23)</f>
        <v>-988157.99</v>
      </c>
      <c r="E23" s="115" t="n">
        <v>-73796.8</v>
      </c>
      <c r="F23" s="115" t="n">
        <v>-79119.88</v>
      </c>
      <c r="G23" s="115" t="n">
        <v>-80431.32</v>
      </c>
      <c r="H23" s="115" t="n">
        <v>-80686.03</v>
      </c>
      <c r="I23" s="115" t="n">
        <v>-82232.88</v>
      </c>
      <c r="J23" s="115" t="n">
        <v>-82231.16</v>
      </c>
      <c r="K23" s="115" t="n">
        <v>-83784.93</v>
      </c>
      <c r="L23" s="115" t="n">
        <v>-84039.41</v>
      </c>
      <c r="M23" s="115" t="n">
        <v>-85125.85</v>
      </c>
      <c r="N23" s="115" t="n">
        <v>-85457.29</v>
      </c>
      <c r="O23" s="115" t="n">
        <v>-85683.77</v>
      </c>
      <c r="P23" s="115" t="n">
        <v>-85568.67</v>
      </c>
    </row>
    <row r="24" customFormat="false" ht="15" hidden="false" customHeight="false" outlineLevel="0" collapsed="false">
      <c r="A24" s="27" t="s">
        <v>412</v>
      </c>
      <c r="B24" s="63" t="s">
        <v>2393</v>
      </c>
      <c r="C24" s="66" t="n">
        <f aca="false">SUM(E24:P24)</f>
        <v>-248941.21</v>
      </c>
      <c r="E24" s="115" t="n">
        <v>-19690.58</v>
      </c>
      <c r="F24" s="115" t="n">
        <v>-19720.27</v>
      </c>
      <c r="G24" s="115" t="n">
        <v>-20131.43</v>
      </c>
      <c r="H24" s="115" t="n">
        <v>-20161.26</v>
      </c>
      <c r="I24" s="115" t="n">
        <v>-20572.56</v>
      </c>
      <c r="J24" s="115" t="n">
        <v>-20602.53</v>
      </c>
      <c r="K24" s="115" t="n">
        <v>-21013.97</v>
      </c>
      <c r="L24" s="115" t="n">
        <v>-21044.09</v>
      </c>
      <c r="M24" s="115" t="n">
        <v>-21455.67</v>
      </c>
      <c r="N24" s="115" t="n">
        <v>-21485.93</v>
      </c>
      <c r="O24" s="115" t="n">
        <v>-21516.26</v>
      </c>
      <c r="P24" s="115" t="n">
        <v>-21546.66</v>
      </c>
    </row>
    <row r="25" customFormat="false" ht="15" hidden="false" customHeight="false" outlineLevel="0" collapsed="false">
      <c r="A25" s="27" t="s">
        <v>413</v>
      </c>
      <c r="B25" s="63" t="s">
        <v>2393</v>
      </c>
      <c r="C25" s="66" t="n">
        <f aca="false">SUM(E25:P25)</f>
        <v>-107123.16</v>
      </c>
      <c r="E25" s="115" t="n">
        <v>-8857.72</v>
      </c>
      <c r="F25" s="115" t="n">
        <v>-8858.85</v>
      </c>
      <c r="G25" s="115" t="n">
        <v>-8886.97</v>
      </c>
      <c r="H25" s="115" t="n">
        <v>-8888.1</v>
      </c>
      <c r="I25" s="115" t="n">
        <v>-8916.23</v>
      </c>
      <c r="J25" s="115" t="n">
        <v>-8917.36</v>
      </c>
      <c r="K25" s="115" t="n">
        <v>-8945.49</v>
      </c>
      <c r="L25" s="115" t="n">
        <v>-8946.62</v>
      </c>
      <c r="M25" s="115" t="n">
        <v>-8974.75</v>
      </c>
      <c r="N25" s="115" t="n">
        <v>-8975.89</v>
      </c>
      <c r="O25" s="115" t="n">
        <v>-8977.02</v>
      </c>
      <c r="P25" s="115" t="n">
        <v>-8978.16</v>
      </c>
    </row>
    <row r="26" customFormat="false" ht="15" hidden="false" customHeight="false" outlineLevel="0" collapsed="false">
      <c r="A26" s="27" t="s">
        <v>414</v>
      </c>
      <c r="B26" s="63" t="s">
        <v>2393</v>
      </c>
      <c r="C26" s="66" t="n">
        <f aca="false">SUM(E26:P26)</f>
        <v>-66360</v>
      </c>
      <c r="E26" s="115" t="n">
        <v>-5530</v>
      </c>
      <c r="F26" s="115" t="n">
        <v>-5530</v>
      </c>
      <c r="G26" s="115" t="n">
        <v>-5530</v>
      </c>
      <c r="H26" s="115" t="n">
        <v>-5530</v>
      </c>
      <c r="I26" s="115" t="n">
        <v>-5530</v>
      </c>
      <c r="J26" s="115" t="n">
        <v>-5530</v>
      </c>
      <c r="K26" s="115" t="n">
        <v>-5530</v>
      </c>
      <c r="L26" s="115" t="n">
        <v>-5530</v>
      </c>
      <c r="M26" s="115" t="n">
        <v>-5530</v>
      </c>
      <c r="N26" s="115" t="n">
        <v>-5530</v>
      </c>
      <c r="O26" s="115" t="n">
        <v>-5530</v>
      </c>
      <c r="P26" s="115" t="n">
        <v>-5530</v>
      </c>
    </row>
    <row r="27" customFormat="false" ht="15" hidden="false" customHeight="false" outlineLevel="0" collapsed="false">
      <c r="A27" s="27" t="s">
        <v>415</v>
      </c>
      <c r="B27" s="63" t="s">
        <v>2393</v>
      </c>
      <c r="C27" s="66" t="n">
        <f aca="false">SUM(E27:P27)</f>
        <v>-30300</v>
      </c>
      <c r="E27" s="115" t="n">
        <v>-4575</v>
      </c>
      <c r="F27" s="115" t="n">
        <v>-4575</v>
      </c>
      <c r="G27" s="115" t="n">
        <v>-4575</v>
      </c>
      <c r="H27" s="115" t="n">
        <v>-4575</v>
      </c>
      <c r="I27" s="115" t="n">
        <v>-1500</v>
      </c>
      <c r="J27" s="115" t="n">
        <v>-1500</v>
      </c>
      <c r="K27" s="115" t="n">
        <v>-1500</v>
      </c>
      <c r="L27" s="115" t="n">
        <v>-1500</v>
      </c>
      <c r="M27" s="115" t="n">
        <v>-1500</v>
      </c>
      <c r="N27" s="115" t="n">
        <v>-1500</v>
      </c>
      <c r="O27" s="115" t="n">
        <v>-1500</v>
      </c>
      <c r="P27" s="115" t="n">
        <v>-1500</v>
      </c>
    </row>
    <row r="28" customFormat="false" ht="15" hidden="false" customHeight="false" outlineLevel="0" collapsed="false">
      <c r="A28" s="27" t="s">
        <v>2397</v>
      </c>
      <c r="B28" s="63" t="s">
        <v>2393</v>
      </c>
      <c r="C28" s="66" t="n">
        <f aca="false">SUM(E28:P28)</f>
        <v>0</v>
      </c>
      <c r="E28" s="115" t="n">
        <v>0</v>
      </c>
      <c r="F28" s="115" t="n">
        <v>0</v>
      </c>
      <c r="G28" s="115" t="n">
        <v>0</v>
      </c>
      <c r="H28" s="115" t="n">
        <v>0</v>
      </c>
      <c r="I28" s="115" t="n">
        <v>0</v>
      </c>
      <c r="J28" s="115" t="n">
        <v>0</v>
      </c>
      <c r="K28" s="115" t="n">
        <v>0</v>
      </c>
      <c r="L28" s="115" t="n">
        <v>0</v>
      </c>
      <c r="M28" s="115" t="n">
        <v>0</v>
      </c>
      <c r="N28" s="115" t="n">
        <v>0</v>
      </c>
      <c r="O28" s="115" t="n">
        <v>0</v>
      </c>
      <c r="P28" s="115" t="n">
        <v>0</v>
      </c>
    </row>
    <row r="29" customFormat="false" ht="15" hidden="false" customHeight="false" outlineLevel="0" collapsed="false">
      <c r="A29" s="27" t="s">
        <v>417</v>
      </c>
      <c r="B29" s="63" t="s">
        <v>2393</v>
      </c>
      <c r="C29" s="66" t="n">
        <f aca="false">SUM(E29:P29)</f>
        <v>-1363624.62</v>
      </c>
      <c r="E29" s="115" t="n">
        <v>-110061.07</v>
      </c>
      <c r="F29" s="115" t="n">
        <v>-109146.07</v>
      </c>
      <c r="G29" s="115" t="n">
        <v>-111844.65</v>
      </c>
      <c r="H29" s="115" t="n">
        <v>-110051.6</v>
      </c>
      <c r="I29" s="115" t="n">
        <v>-116629.73</v>
      </c>
      <c r="J29" s="115" t="n">
        <v>-116280</v>
      </c>
      <c r="K29" s="115" t="n">
        <v>-111237.19</v>
      </c>
      <c r="L29" s="115" t="n">
        <v>-103168.69</v>
      </c>
      <c r="M29" s="115" t="n">
        <v>-117288.56</v>
      </c>
      <c r="N29" s="115" t="n">
        <v>-120314.25</v>
      </c>
      <c r="O29" s="115" t="n">
        <v>-121322.81</v>
      </c>
      <c r="P29" s="115" t="n">
        <v>-116280</v>
      </c>
    </row>
    <row r="30" customFormat="false" ht="15" hidden="false" customHeight="false" outlineLevel="0" collapsed="false">
      <c r="A30" s="27" t="s">
        <v>418</v>
      </c>
      <c r="B30" s="63" t="s">
        <v>2393</v>
      </c>
      <c r="C30" s="66" t="n">
        <f aca="false">SUM(E30:P30)</f>
        <v>-543603.71</v>
      </c>
      <c r="E30" s="115" t="n">
        <v>-43812.6</v>
      </c>
      <c r="F30" s="115" t="n">
        <v>-46895.92</v>
      </c>
      <c r="G30" s="115" t="n">
        <v>-46895.92</v>
      </c>
      <c r="H30" s="115" t="n">
        <v>-45328.7</v>
      </c>
      <c r="I30" s="115" t="n">
        <v>-46504.12</v>
      </c>
      <c r="J30" s="115" t="n">
        <v>-45328.7</v>
      </c>
      <c r="K30" s="115" t="n">
        <v>-43369.67</v>
      </c>
      <c r="L30" s="115" t="n">
        <v>-40235.22</v>
      </c>
      <c r="M30" s="115" t="n">
        <v>-45720.51</v>
      </c>
      <c r="N30" s="115" t="n">
        <v>-46895.92</v>
      </c>
      <c r="O30" s="115" t="n">
        <v>-47287.73</v>
      </c>
      <c r="P30" s="115" t="n">
        <v>-45328.7</v>
      </c>
    </row>
    <row r="31" customFormat="false" ht="15" hidden="false" customHeight="false" outlineLevel="0" collapsed="false">
      <c r="A31" s="59" t="s">
        <v>419</v>
      </c>
      <c r="B31" s="60"/>
      <c r="C31" s="61" t="n">
        <f aca="false">SUM(E31:P31)</f>
        <v>-5672754.44</v>
      </c>
      <c r="D31" s="167"/>
      <c r="E31" s="61" t="n">
        <f aca="false">E22+E23+E24+E25+E26+E27+E28+E29+E30</f>
        <v>-430594.91</v>
      </c>
      <c r="F31" s="61" t="n">
        <f aca="false">F22+F23+F24+F25+F26+F27+F28+F29+F30</f>
        <v>-447089.93</v>
      </c>
      <c r="G31" s="61" t="n">
        <f aca="false">G22+G23+G24+G25+G26+G27+G28+G29+G30</f>
        <v>-479838.04</v>
      </c>
      <c r="H31" s="61" t="n">
        <f aca="false">H22+H23+H24+H25+H26+H27+H28+H29+H30</f>
        <v>-460198.28</v>
      </c>
      <c r="I31" s="61" t="n">
        <f aca="false">I22+I23+I24+I25+I26+I27+I28+I29+I30</f>
        <v>-475835.9</v>
      </c>
      <c r="J31" s="61" t="n">
        <f aca="false">J22+J23+J24+J25+J26+J27+J28+J29+J30</f>
        <v>-507470.45</v>
      </c>
      <c r="K31" s="61" t="n">
        <f aca="false">K22+K23+K24+K25+K26+K27+K28+K29+K30</f>
        <v>-456217.55</v>
      </c>
      <c r="L31" s="61" t="n">
        <f aca="false">L22+L23+L24+L25+L26+L27+L28+L29+L30</f>
        <v>-382490.78</v>
      </c>
      <c r="M31" s="61" t="n">
        <f aca="false">M22+M23+M24+M25+M26+M27+M28+M29+M30</f>
        <v>-516127.11</v>
      </c>
      <c r="N31" s="61" t="n">
        <f aca="false">N22+N23+N24+N25+N26+N27+N28+N29+N30</f>
        <v>-539326.86</v>
      </c>
      <c r="O31" s="61" t="n">
        <f aca="false">O22+O23+O24+O25+O26+O27+O28+O29+O30</f>
        <v>-500262.49</v>
      </c>
      <c r="P31" s="61" t="n">
        <f aca="false">P22+P23+P24+P25+P26+P27+P28+P29+P30</f>
        <v>-477302.14</v>
      </c>
    </row>
    <row r="32" customFormat="false" ht="15" hidden="false" customHeight="false" outlineLevel="0" collapsed="false">
      <c r="A32" s="59" t="s">
        <v>420</v>
      </c>
      <c r="B32" s="60"/>
      <c r="C32" s="61" t="n">
        <f aca="false">SUM(E32:P32)</f>
        <v>2542503.06</v>
      </c>
      <c r="D32" s="167"/>
      <c r="E32" s="61" t="n">
        <f aca="false">E20+E31</f>
        <v>188224.78</v>
      </c>
      <c r="F32" s="61" t="n">
        <f aca="false">F20+F31</f>
        <v>188830.27</v>
      </c>
      <c r="G32" s="61" t="n">
        <f aca="false">G20+G31</f>
        <v>207786.21</v>
      </c>
      <c r="H32" s="61" t="n">
        <f aca="false">H20+H31</f>
        <v>203230.06</v>
      </c>
      <c r="I32" s="61" t="n">
        <f aca="false">I20+I31</f>
        <v>202032.22</v>
      </c>
      <c r="J32" s="61" t="n">
        <f aca="false">J20+J31</f>
        <v>223871.71</v>
      </c>
      <c r="K32" s="61" t="n">
        <f aca="false">K20+K31</f>
        <v>209915.62</v>
      </c>
      <c r="L32" s="61" t="n">
        <f aca="false">L20+L31</f>
        <v>175558.63</v>
      </c>
      <c r="M32" s="61" t="n">
        <f aca="false">M20+M31</f>
        <v>232789.27</v>
      </c>
      <c r="N32" s="61" t="n">
        <f aca="false">N20+N31</f>
        <v>244787.96</v>
      </c>
      <c r="O32" s="61" t="n">
        <f aca="false">O20+O31</f>
        <v>231461.66</v>
      </c>
      <c r="P32" s="61" t="n">
        <f aca="false">P20+P31</f>
        <v>234014.67</v>
      </c>
    </row>
    <row r="33" customFormat="false" ht="15" hidden="false" customHeight="false" outlineLevel="0" collapsed="false">
      <c r="A33" s="21" t="s">
        <v>423</v>
      </c>
      <c r="B33" s="22"/>
      <c r="C33" s="22"/>
      <c r="D33" s="22"/>
      <c r="E33" s="22"/>
      <c r="F33" s="22"/>
      <c r="G33" s="22"/>
      <c r="H33" s="22"/>
      <c r="I33" s="22"/>
      <c r="J33" s="22"/>
      <c r="K33" s="22"/>
      <c r="L33" s="22"/>
      <c r="M33" s="22"/>
      <c r="N33" s="22"/>
      <c r="O33" s="22"/>
      <c r="P33" s="22"/>
    </row>
    <row r="34" customFormat="false" ht="15" hidden="false" customHeight="false" outlineLevel="0" collapsed="false">
      <c r="A34" s="27" t="s">
        <v>424</v>
      </c>
      <c r="B34" s="63" t="s">
        <v>2393</v>
      </c>
      <c r="C34" s="66" t="n">
        <f aca="false">SUM(E34:P34)</f>
        <v>-309144.78</v>
      </c>
      <c r="E34" s="115" t="n">
        <v>-23468.97</v>
      </c>
      <c r="F34" s="115" t="n">
        <v>-23334.93</v>
      </c>
      <c r="G34" s="115" t="n">
        <v>-26866.28</v>
      </c>
      <c r="H34" s="115" t="n">
        <v>-25915.92</v>
      </c>
      <c r="I34" s="115" t="n">
        <v>-26752.57</v>
      </c>
      <c r="J34" s="115" t="n">
        <v>-26305.89</v>
      </c>
      <c r="K34" s="115" t="n">
        <v>-25112.82</v>
      </c>
      <c r="L34" s="115" t="n">
        <v>-23038.74</v>
      </c>
      <c r="M34" s="115" t="n">
        <v>-26827.54</v>
      </c>
      <c r="N34" s="115" t="n">
        <v>-27576.59</v>
      </c>
      <c r="O34" s="115" t="n">
        <v>-27552.13</v>
      </c>
      <c r="P34" s="115" t="n">
        <v>-26392.4</v>
      </c>
    </row>
    <row r="35" customFormat="false" ht="15" hidden="false" customHeight="false" outlineLevel="0" collapsed="false">
      <c r="A35" s="27" t="s">
        <v>425</v>
      </c>
      <c r="B35" s="63" t="s">
        <v>2393</v>
      </c>
      <c r="C35" s="66" t="n">
        <f aca="false">SUM(E35:P35)</f>
        <v>-398479.93</v>
      </c>
      <c r="E35" s="115" t="n">
        <v>-34442.72</v>
      </c>
      <c r="F35" s="115" t="n">
        <v>-34157.47</v>
      </c>
      <c r="G35" s="115" t="n">
        <v>-34157.47</v>
      </c>
      <c r="H35" s="115" t="n">
        <v>-33016.5</v>
      </c>
      <c r="I35" s="115" t="n">
        <v>-33872.23</v>
      </c>
      <c r="J35" s="115" t="n">
        <v>-33016.5</v>
      </c>
      <c r="K35" s="115" t="n">
        <v>-31590.28</v>
      </c>
      <c r="L35" s="115" t="n">
        <v>-29308.33</v>
      </c>
      <c r="M35" s="115" t="n">
        <v>-33301.74</v>
      </c>
      <c r="N35" s="115" t="n">
        <v>-34157.47</v>
      </c>
      <c r="O35" s="115" t="n">
        <v>-34442.72</v>
      </c>
      <c r="P35" s="115" t="n">
        <v>-33016.5</v>
      </c>
    </row>
    <row r="36" customFormat="false" ht="15" hidden="false" customHeight="false" outlineLevel="0" collapsed="false">
      <c r="A36" s="27" t="s">
        <v>426</v>
      </c>
      <c r="B36" s="63" t="s">
        <v>2393</v>
      </c>
      <c r="C36" s="66" t="n">
        <f aca="false">SUM(E36:P36)</f>
        <v>-126000</v>
      </c>
      <c r="E36" s="115" t="n">
        <v>-10500</v>
      </c>
      <c r="F36" s="115" t="n">
        <v>-10500</v>
      </c>
      <c r="G36" s="115" t="n">
        <v>-10500</v>
      </c>
      <c r="H36" s="115" t="n">
        <v>-10500</v>
      </c>
      <c r="I36" s="115" t="n">
        <v>-10500</v>
      </c>
      <c r="J36" s="115" t="n">
        <v>-10500</v>
      </c>
      <c r="K36" s="115" t="n">
        <v>-10500</v>
      </c>
      <c r="L36" s="115" t="n">
        <v>-10500</v>
      </c>
      <c r="M36" s="115" t="n">
        <v>-10500</v>
      </c>
      <c r="N36" s="115" t="n">
        <v>-10500</v>
      </c>
      <c r="O36" s="115" t="n">
        <v>-10500</v>
      </c>
      <c r="P36" s="115" t="n">
        <v>-10500</v>
      </c>
    </row>
    <row r="37" customFormat="false" ht="15" hidden="false" customHeight="false" outlineLevel="0" collapsed="false">
      <c r="A37" s="27" t="s">
        <v>427</v>
      </c>
      <c r="B37" s="63" t="s">
        <v>2393</v>
      </c>
      <c r="C37" s="66" t="n">
        <f aca="false">SUM(E37:P37)</f>
        <v>-57456</v>
      </c>
      <c r="E37" s="115" t="n">
        <v>-4176</v>
      </c>
      <c r="F37" s="115" t="n">
        <v>-4176</v>
      </c>
      <c r="G37" s="115" t="n">
        <v>-11520</v>
      </c>
      <c r="H37" s="115" t="n">
        <v>-4176</v>
      </c>
      <c r="I37" s="115" t="n">
        <v>-4176</v>
      </c>
      <c r="J37" s="115" t="n">
        <v>-4176</v>
      </c>
      <c r="K37" s="115" t="n">
        <v>-4176</v>
      </c>
      <c r="L37" s="115" t="n">
        <v>-4176</v>
      </c>
      <c r="M37" s="115" t="n">
        <v>-4176</v>
      </c>
      <c r="N37" s="115" t="n">
        <v>-4176</v>
      </c>
      <c r="O37" s="115" t="n">
        <v>-4176</v>
      </c>
      <c r="P37" s="115" t="n">
        <v>-4176</v>
      </c>
    </row>
    <row r="38" customFormat="false" ht="15" hidden="false" customHeight="false" outlineLevel="0" collapsed="false">
      <c r="A38" s="27" t="s">
        <v>428</v>
      </c>
      <c r="B38" s="63" t="s">
        <v>2393</v>
      </c>
      <c r="C38" s="66" t="n">
        <f aca="false">SUM(E38:P38)</f>
        <v>-22800</v>
      </c>
      <c r="E38" s="115" t="n">
        <v>-1900</v>
      </c>
      <c r="F38" s="115" t="n">
        <v>-1900</v>
      </c>
      <c r="G38" s="115" t="n">
        <v>-1900</v>
      </c>
      <c r="H38" s="115" t="n">
        <v>-1900</v>
      </c>
      <c r="I38" s="115" t="n">
        <v>-1900</v>
      </c>
      <c r="J38" s="115" t="n">
        <v>-1900</v>
      </c>
      <c r="K38" s="115" t="n">
        <v>-1900</v>
      </c>
      <c r="L38" s="115" t="n">
        <v>-1900</v>
      </c>
      <c r="M38" s="115" t="n">
        <v>-1900</v>
      </c>
      <c r="N38" s="115" t="n">
        <v>-1900</v>
      </c>
      <c r="O38" s="115" t="n">
        <v>-1900</v>
      </c>
      <c r="P38" s="115" t="n">
        <v>-1900</v>
      </c>
    </row>
    <row r="39" customFormat="false" ht="15" hidden="false" customHeight="false" outlineLevel="0" collapsed="false">
      <c r="A39" s="27" t="s">
        <v>429</v>
      </c>
      <c r="B39" s="63" t="s">
        <v>2393</v>
      </c>
      <c r="C39" s="66" t="n">
        <f aca="false">SUM(E39:P39)</f>
        <v>-81055</v>
      </c>
      <c r="E39" s="115" t="n">
        <v>-6045</v>
      </c>
      <c r="F39" s="115" t="n">
        <v>-6045</v>
      </c>
      <c r="G39" s="115" t="n">
        <v>-6045</v>
      </c>
      <c r="H39" s="115" t="n">
        <v>-6045</v>
      </c>
      <c r="I39" s="115" t="n">
        <v>-11700</v>
      </c>
      <c r="J39" s="115" t="n">
        <v>-6045</v>
      </c>
      <c r="K39" s="115" t="n">
        <v>-6045</v>
      </c>
      <c r="L39" s="115" t="n">
        <v>-3250</v>
      </c>
      <c r="M39" s="115" t="n">
        <v>-6045</v>
      </c>
      <c r="N39" s="115" t="n">
        <v>-11700</v>
      </c>
      <c r="O39" s="115" t="n">
        <v>-6045</v>
      </c>
      <c r="P39" s="115" t="n">
        <v>-6045</v>
      </c>
    </row>
    <row r="40" customFormat="false" ht="15" hidden="false" customHeight="false" outlineLevel="0" collapsed="false">
      <c r="A40" s="27" t="s">
        <v>430</v>
      </c>
      <c r="B40" s="63" t="s">
        <v>2393</v>
      </c>
      <c r="C40" s="66" t="n">
        <f aca="false">SUM(E40:P40)</f>
        <v>-45600</v>
      </c>
      <c r="E40" s="115" t="n">
        <v>-3800</v>
      </c>
      <c r="F40" s="115" t="n">
        <v>-3800</v>
      </c>
      <c r="G40" s="115" t="n">
        <v>-3800</v>
      </c>
      <c r="H40" s="115" t="n">
        <v>-3800</v>
      </c>
      <c r="I40" s="115" t="n">
        <v>-3800</v>
      </c>
      <c r="J40" s="115" t="n">
        <v>-3800</v>
      </c>
      <c r="K40" s="115" t="n">
        <v>-3800</v>
      </c>
      <c r="L40" s="115" t="n">
        <v>-3800</v>
      </c>
      <c r="M40" s="115" t="n">
        <v>-3800</v>
      </c>
      <c r="N40" s="115" t="n">
        <v>-3800</v>
      </c>
      <c r="O40" s="115" t="n">
        <v>-3800</v>
      </c>
      <c r="P40" s="115" t="n">
        <v>-3800</v>
      </c>
    </row>
    <row r="41" customFormat="false" ht="15" hidden="false" customHeight="false" outlineLevel="0" collapsed="false">
      <c r="A41" s="27" t="s">
        <v>431</v>
      </c>
      <c r="B41" s="63" t="s">
        <v>2393</v>
      </c>
      <c r="C41" s="66" t="n">
        <f aca="false">SUM(E41:P41)</f>
        <v>-18000</v>
      </c>
      <c r="E41" s="115" t="n">
        <v>-400</v>
      </c>
      <c r="F41" s="115" t="n">
        <v>-2600</v>
      </c>
      <c r="G41" s="115" t="n">
        <v>-4800</v>
      </c>
      <c r="H41" s="115" t="n">
        <v>-2600</v>
      </c>
      <c r="I41" s="115" t="n">
        <v>-2600</v>
      </c>
      <c r="J41" s="115" t="n">
        <v>-2600</v>
      </c>
      <c r="K41" s="115" t="n">
        <v>-400</v>
      </c>
      <c r="L41" s="115" t="n">
        <v>-400</v>
      </c>
      <c r="M41" s="115" t="n">
        <v>-400</v>
      </c>
      <c r="N41" s="115" t="n">
        <v>-400</v>
      </c>
      <c r="O41" s="115" t="n">
        <v>-400</v>
      </c>
      <c r="P41" s="115" t="n">
        <v>-400</v>
      </c>
    </row>
    <row r="42" customFormat="false" ht="15" hidden="false" customHeight="false" outlineLevel="0" collapsed="false">
      <c r="A42" s="27" t="s">
        <v>432</v>
      </c>
      <c r="B42" s="63" t="s">
        <v>2393</v>
      </c>
      <c r="C42" s="66" t="n">
        <f aca="false">SUM(E42:P42)</f>
        <v>-38400</v>
      </c>
      <c r="E42" s="115" t="n">
        <v>-3200</v>
      </c>
      <c r="F42" s="115" t="n">
        <v>-3200</v>
      </c>
      <c r="G42" s="115" t="n">
        <v>-3200</v>
      </c>
      <c r="H42" s="115" t="n">
        <v>-3200</v>
      </c>
      <c r="I42" s="115" t="n">
        <v>-3200</v>
      </c>
      <c r="J42" s="115" t="n">
        <v>-3200</v>
      </c>
      <c r="K42" s="115" t="n">
        <v>-3200</v>
      </c>
      <c r="L42" s="115" t="n">
        <v>-3200</v>
      </c>
      <c r="M42" s="115" t="n">
        <v>-3200</v>
      </c>
      <c r="N42" s="115" t="n">
        <v>-3200</v>
      </c>
      <c r="O42" s="115" t="n">
        <v>-3200</v>
      </c>
      <c r="P42" s="115" t="n">
        <v>-3200</v>
      </c>
    </row>
    <row r="43" customFormat="false" ht="15" hidden="false" customHeight="false" outlineLevel="0" collapsed="false">
      <c r="A43" s="27" t="s">
        <v>433</v>
      </c>
      <c r="B43" s="63" t="s">
        <v>2393</v>
      </c>
      <c r="C43" s="66" t="n">
        <f aca="false">SUM(E43:P43)</f>
        <v>-50400</v>
      </c>
      <c r="E43" s="115" t="n">
        <v>-4200</v>
      </c>
      <c r="F43" s="115" t="n">
        <v>-4200</v>
      </c>
      <c r="G43" s="115" t="n">
        <v>-4200</v>
      </c>
      <c r="H43" s="115" t="n">
        <v>-4200</v>
      </c>
      <c r="I43" s="115" t="n">
        <v>-4200</v>
      </c>
      <c r="J43" s="115" t="n">
        <v>-4200</v>
      </c>
      <c r="K43" s="115" t="n">
        <v>-4200</v>
      </c>
      <c r="L43" s="115" t="n">
        <v>-4200</v>
      </c>
      <c r="M43" s="115" t="n">
        <v>-4200</v>
      </c>
      <c r="N43" s="115" t="n">
        <v>-4200</v>
      </c>
      <c r="O43" s="115" t="n">
        <v>-4200</v>
      </c>
      <c r="P43" s="115" t="n">
        <v>-4200</v>
      </c>
    </row>
    <row r="44" customFormat="false" ht="15" hidden="false" customHeight="false" outlineLevel="0" collapsed="false">
      <c r="A44" s="27" t="s">
        <v>434</v>
      </c>
      <c r="B44" s="63" t="s">
        <v>2393</v>
      </c>
      <c r="C44" s="66" t="n">
        <f aca="false">SUM(E44:P44)</f>
        <v>-32400</v>
      </c>
      <c r="E44" s="115" t="n">
        <v>-2700</v>
      </c>
      <c r="F44" s="115" t="n">
        <v>-2700</v>
      </c>
      <c r="G44" s="115" t="n">
        <v>-2700</v>
      </c>
      <c r="H44" s="115" t="n">
        <v>-2700</v>
      </c>
      <c r="I44" s="115" t="n">
        <v>-2700</v>
      </c>
      <c r="J44" s="115" t="n">
        <v>-2700</v>
      </c>
      <c r="K44" s="115" t="n">
        <v>-2700</v>
      </c>
      <c r="L44" s="115" t="n">
        <v>-2700</v>
      </c>
      <c r="M44" s="115" t="n">
        <v>-2700</v>
      </c>
      <c r="N44" s="115" t="n">
        <v>-2700</v>
      </c>
      <c r="O44" s="115" t="n">
        <v>-2700</v>
      </c>
      <c r="P44" s="115" t="n">
        <v>-2700</v>
      </c>
    </row>
    <row r="45" customFormat="false" ht="15" hidden="false" customHeight="false" outlineLevel="0" collapsed="false">
      <c r="A45" s="27" t="s">
        <v>435</v>
      </c>
      <c r="B45" s="63" t="s">
        <v>2393</v>
      </c>
      <c r="C45" s="66" t="n">
        <f aca="false">SUM(E45:P45)</f>
        <v>-5400</v>
      </c>
      <c r="E45" s="115" t="n">
        <v>-450</v>
      </c>
      <c r="F45" s="115" t="n">
        <v>-450</v>
      </c>
      <c r="G45" s="115" t="n">
        <v>-450</v>
      </c>
      <c r="H45" s="115" t="n">
        <v>-450</v>
      </c>
      <c r="I45" s="115" t="n">
        <v>-450</v>
      </c>
      <c r="J45" s="115" t="n">
        <v>-450</v>
      </c>
      <c r="K45" s="115" t="n">
        <v>-450</v>
      </c>
      <c r="L45" s="115" t="n">
        <v>-450</v>
      </c>
      <c r="M45" s="115" t="n">
        <v>-450</v>
      </c>
      <c r="N45" s="115" t="n">
        <v>-450</v>
      </c>
      <c r="O45" s="115" t="n">
        <v>-450</v>
      </c>
      <c r="P45" s="115" t="n">
        <v>-450</v>
      </c>
    </row>
    <row r="46" customFormat="false" ht="15" hidden="false" customHeight="false" outlineLevel="0" collapsed="false">
      <c r="A46" s="59" t="s">
        <v>436</v>
      </c>
      <c r="B46" s="60"/>
      <c r="C46" s="61" t="n">
        <f aca="false">SUM(E46:P46)</f>
        <v>-1185135.71</v>
      </c>
      <c r="D46" s="167"/>
      <c r="E46" s="61" t="n">
        <f aca="false">SUM(E34:E45)</f>
        <v>-95282.69</v>
      </c>
      <c r="F46" s="61" t="n">
        <f aca="false">SUM(F34:F45)</f>
        <v>-97063.4</v>
      </c>
      <c r="G46" s="61" t="n">
        <f aca="false">SUM(G34:G45)</f>
        <v>-110138.75</v>
      </c>
      <c r="H46" s="61" t="n">
        <f aca="false">SUM(H34:H45)</f>
        <v>-98503.42</v>
      </c>
      <c r="I46" s="61" t="n">
        <f aca="false">SUM(I34:I45)</f>
        <v>-105850.8</v>
      </c>
      <c r="J46" s="61" t="n">
        <f aca="false">SUM(J34:J45)</f>
        <v>-98893.39</v>
      </c>
      <c r="K46" s="61" t="n">
        <f aca="false">SUM(K34:K45)</f>
        <v>-94074.1</v>
      </c>
      <c r="L46" s="61" t="n">
        <f aca="false">SUM(L34:L45)</f>
        <v>-86923.07</v>
      </c>
      <c r="M46" s="61" t="n">
        <f aca="false">SUM(M34:M45)</f>
        <v>-97500.28</v>
      </c>
      <c r="N46" s="61" t="n">
        <f aca="false">SUM(N34:N45)</f>
        <v>-104760.06</v>
      </c>
      <c r="O46" s="61" t="n">
        <f aca="false">SUM(O34:O45)</f>
        <v>-99365.85</v>
      </c>
      <c r="P46" s="61" t="n">
        <f aca="false">SUM(P34:P45)</f>
        <v>-96779.9</v>
      </c>
    </row>
    <row r="47" customFormat="false" ht="15" hidden="false" customHeight="false" outlineLevel="0" collapsed="false">
      <c r="A47" s="59" t="s">
        <v>393</v>
      </c>
      <c r="B47" s="60"/>
      <c r="C47" s="61" t="n">
        <f aca="false">SUM(E47:P47)</f>
        <v>1357367.35</v>
      </c>
      <c r="D47" s="167"/>
      <c r="E47" s="61" t="n">
        <f aca="false">E32+E46</f>
        <v>92942.0900000001</v>
      </c>
      <c r="F47" s="61" t="n">
        <f aca="false">F32+F46</f>
        <v>91766.87</v>
      </c>
      <c r="G47" s="61" t="n">
        <f aca="false">G32+G46</f>
        <v>97647.46</v>
      </c>
      <c r="H47" s="61" t="n">
        <f aca="false">H32+H46</f>
        <v>104726.64</v>
      </c>
      <c r="I47" s="61" t="n">
        <f aca="false">I32+I46</f>
        <v>96181.42</v>
      </c>
      <c r="J47" s="61" t="n">
        <f aca="false">J32+J46</f>
        <v>124978.32</v>
      </c>
      <c r="K47" s="61" t="n">
        <f aca="false">K32+K46</f>
        <v>115841.52</v>
      </c>
      <c r="L47" s="61" t="n">
        <f aca="false">L32+L46</f>
        <v>88635.56</v>
      </c>
      <c r="M47" s="61" t="n">
        <f aca="false">M32+M46</f>
        <v>135288.99</v>
      </c>
      <c r="N47" s="61" t="n">
        <f aca="false">N32+N46</f>
        <v>140027.9</v>
      </c>
      <c r="O47" s="61" t="n">
        <f aca="false">O32+O46</f>
        <v>132095.81</v>
      </c>
      <c r="P47" s="61" t="n">
        <f aca="false">P32+P46</f>
        <v>137234.77</v>
      </c>
    </row>
    <row r="48" customFormat="false" ht="15" hidden="false" customHeight="false" outlineLevel="0" collapsed="false">
      <c r="A48" s="27" t="s">
        <v>569</v>
      </c>
      <c r="B48" s="63" t="s">
        <v>2393</v>
      </c>
      <c r="C48" s="66" t="n">
        <f aca="false">SUM(E48:P48)</f>
        <v>-119450.04</v>
      </c>
      <c r="E48" s="115" t="n">
        <v>-9266.67</v>
      </c>
      <c r="F48" s="115" t="n">
        <v>-9391.67</v>
      </c>
      <c r="G48" s="115" t="n">
        <v>-9516.67</v>
      </c>
      <c r="H48" s="115" t="n">
        <v>-9641.67</v>
      </c>
      <c r="I48" s="115" t="n">
        <v>-9766.67</v>
      </c>
      <c r="J48" s="115" t="n">
        <v>-9891.67</v>
      </c>
      <c r="K48" s="115" t="n">
        <v>-10016.67</v>
      </c>
      <c r="L48" s="115" t="n">
        <v>-10141.67</v>
      </c>
      <c r="M48" s="115" t="n">
        <v>-10266.67</v>
      </c>
      <c r="N48" s="115" t="n">
        <v>-10391.67</v>
      </c>
      <c r="O48" s="115" t="n">
        <v>-10516.67</v>
      </c>
      <c r="P48" s="115" t="n">
        <v>-10641.67</v>
      </c>
    </row>
    <row r="49" customFormat="false" ht="15" hidden="false" customHeight="false" outlineLevel="0" collapsed="false">
      <c r="A49" s="27" t="s">
        <v>440</v>
      </c>
      <c r="B49" s="63" t="s">
        <v>2393</v>
      </c>
      <c r="C49" s="66" t="n">
        <f aca="false">SUM(E49:P49)</f>
        <v>-49691.66</v>
      </c>
      <c r="E49" s="115" t="n">
        <v>-4820.83</v>
      </c>
      <c r="F49" s="115" t="n">
        <v>-4697.22</v>
      </c>
      <c r="G49" s="115" t="n">
        <v>-4573.61</v>
      </c>
      <c r="H49" s="115" t="n">
        <v>-4450</v>
      </c>
      <c r="I49" s="115" t="n">
        <v>-4326.39</v>
      </c>
      <c r="J49" s="115" t="n">
        <v>-4202.78</v>
      </c>
      <c r="K49" s="115" t="n">
        <v>-4079.17</v>
      </c>
      <c r="L49" s="115" t="n">
        <v>-3955.56</v>
      </c>
      <c r="M49" s="115" t="n">
        <v>-3831.94</v>
      </c>
      <c r="N49" s="115" t="n">
        <v>-3708.33</v>
      </c>
      <c r="O49" s="115" t="n">
        <v>-3584.72</v>
      </c>
      <c r="P49" s="115" t="n">
        <v>-3461.11</v>
      </c>
    </row>
    <row r="50" customFormat="false" ht="15" hidden="false" customHeight="false" outlineLevel="0" collapsed="false">
      <c r="A50" s="27" t="s">
        <v>570</v>
      </c>
      <c r="B50" s="63" t="s">
        <v>2393</v>
      </c>
      <c r="C50" s="66" t="n">
        <f aca="false">SUM(E50:P50)</f>
        <v>0</v>
      </c>
      <c r="E50" s="115" t="n">
        <v>0</v>
      </c>
      <c r="F50" s="115" t="n">
        <v>0</v>
      </c>
      <c r="G50" s="115" t="n">
        <v>0</v>
      </c>
      <c r="H50" s="115" t="n">
        <v>0</v>
      </c>
      <c r="I50" s="115" t="n">
        <v>0</v>
      </c>
      <c r="J50" s="115" t="n">
        <v>0</v>
      </c>
      <c r="K50" s="115" t="n">
        <v>0</v>
      </c>
      <c r="L50" s="115" t="n">
        <v>0</v>
      </c>
      <c r="M50" s="115" t="n">
        <v>0</v>
      </c>
      <c r="N50" s="115" t="n">
        <v>0</v>
      </c>
      <c r="O50" s="115" t="n">
        <v>0</v>
      </c>
      <c r="P50" s="115" t="n">
        <v>0</v>
      </c>
    </row>
    <row r="51" customFormat="false" ht="15" hidden="false" customHeight="false" outlineLevel="0" collapsed="false">
      <c r="A51" s="59" t="s">
        <v>442</v>
      </c>
      <c r="B51" s="60"/>
      <c r="C51" s="61" t="n">
        <f aca="false">SUM(E51:P51)</f>
        <v>1188225.65</v>
      </c>
      <c r="D51" s="167"/>
      <c r="E51" s="61" t="n">
        <f aca="false">E47+E48+E49+E50</f>
        <v>78854.5900000001</v>
      </c>
      <c r="F51" s="61" t="n">
        <f aca="false">F47+F48+F49+F50</f>
        <v>77677.98</v>
      </c>
      <c r="G51" s="61" t="n">
        <f aca="false">G47+G48+G49+G50</f>
        <v>83557.18</v>
      </c>
      <c r="H51" s="61" t="n">
        <f aca="false">H47+H48+H49+H50</f>
        <v>90634.9700000001</v>
      </c>
      <c r="I51" s="61" t="n">
        <f aca="false">I47+I48+I49+I50</f>
        <v>82088.36</v>
      </c>
      <c r="J51" s="61" t="n">
        <f aca="false">J47+J48+J49+J50</f>
        <v>110883.87</v>
      </c>
      <c r="K51" s="61" t="n">
        <f aca="false">K47+K48+K49+K50</f>
        <v>101745.68</v>
      </c>
      <c r="L51" s="61" t="n">
        <f aca="false">L47+L48+L49+L50</f>
        <v>74538.33</v>
      </c>
      <c r="M51" s="61" t="n">
        <f aca="false">M47+M48+M49+M50</f>
        <v>121190.38</v>
      </c>
      <c r="N51" s="61" t="n">
        <f aca="false">N47+N48+N49+N50</f>
        <v>125927.9</v>
      </c>
      <c r="O51" s="61" t="n">
        <f aca="false">O47+O48+O49+O50</f>
        <v>117994.42</v>
      </c>
      <c r="P51" s="61" t="n">
        <f aca="false">P47+P48+P49+P50</f>
        <v>123131.99</v>
      </c>
    </row>
    <row r="52" customFormat="false" ht="15" hidden="false" customHeight="false" outlineLevel="0" collapsed="false">
      <c r="A52" s="27" t="s">
        <v>443</v>
      </c>
      <c r="B52" s="63" t="s">
        <v>2393</v>
      </c>
      <c r="C52" s="66" t="n">
        <f aca="false">SUM(E52:P52)</f>
        <v>-241586.25</v>
      </c>
      <c r="E52" s="115" t="n">
        <v>-16032.46</v>
      </c>
      <c r="F52" s="115" t="n">
        <v>-15793.24</v>
      </c>
      <c r="G52" s="115" t="n">
        <v>-16988.58</v>
      </c>
      <c r="H52" s="115" t="n">
        <v>-18427.61</v>
      </c>
      <c r="I52" s="115" t="n">
        <v>-16689.94</v>
      </c>
      <c r="J52" s="115" t="n">
        <v>-22544.56</v>
      </c>
      <c r="K52" s="115" t="n">
        <v>-20686.61</v>
      </c>
      <c r="L52" s="115" t="n">
        <v>-15154.9</v>
      </c>
      <c r="M52" s="115" t="n">
        <v>-24640.04</v>
      </c>
      <c r="N52" s="115" t="n">
        <v>-25603.26</v>
      </c>
      <c r="O52" s="115" t="n">
        <v>-23990.25</v>
      </c>
      <c r="P52" s="115" t="n">
        <v>-25034.8</v>
      </c>
    </row>
    <row r="53" customFormat="false" ht="15" hidden="false" customHeight="false" outlineLevel="0" collapsed="false">
      <c r="A53" s="59" t="s">
        <v>444</v>
      </c>
      <c r="B53" s="60"/>
      <c r="C53" s="61" t="n">
        <f aca="false">SUM(E53:P53)</f>
        <v>946639.400000001</v>
      </c>
      <c r="D53" s="167"/>
      <c r="E53" s="61" t="n">
        <f aca="false">E51+E52</f>
        <v>62822.1300000001</v>
      </c>
      <c r="F53" s="61" t="n">
        <f aca="false">F51+F52</f>
        <v>61884.74</v>
      </c>
      <c r="G53" s="61" t="n">
        <f aca="false">G51+G52</f>
        <v>66568.6</v>
      </c>
      <c r="H53" s="61" t="n">
        <f aca="false">H51+H52</f>
        <v>72207.3600000001</v>
      </c>
      <c r="I53" s="61" t="n">
        <f aca="false">I51+I52</f>
        <v>65398.42</v>
      </c>
      <c r="J53" s="61" t="n">
        <f aca="false">J51+J52</f>
        <v>88339.31</v>
      </c>
      <c r="K53" s="61" t="n">
        <f aca="false">K51+K52</f>
        <v>81059.07</v>
      </c>
      <c r="L53" s="61" t="n">
        <f aca="false">L51+L52</f>
        <v>59383.43</v>
      </c>
      <c r="M53" s="61" t="n">
        <f aca="false">M51+M52</f>
        <v>96550.3400000001</v>
      </c>
      <c r="N53" s="61" t="n">
        <f aca="false">N51+N52</f>
        <v>100324.64</v>
      </c>
      <c r="O53" s="61" t="n">
        <f aca="false">O51+O52</f>
        <v>94004.17</v>
      </c>
      <c r="P53" s="61" t="n">
        <f aca="false">P51+P52</f>
        <v>98097.1900000001</v>
      </c>
    </row>
    <row r="54" customFormat="false" ht="15" hidden="false" customHeight="false" outlineLevel="0" collapsed="false">
      <c r="A54" s="21" t="s">
        <v>2398</v>
      </c>
      <c r="B54" s="22"/>
      <c r="C54" s="22"/>
      <c r="D54" s="22"/>
      <c r="E54" s="22"/>
      <c r="F54" s="22"/>
      <c r="G54" s="22"/>
      <c r="H54" s="22"/>
      <c r="I54" s="22"/>
      <c r="J54" s="22"/>
      <c r="K54" s="22"/>
      <c r="L54" s="22"/>
      <c r="M54" s="22"/>
      <c r="N54" s="22"/>
      <c r="O54" s="22"/>
      <c r="P54" s="22"/>
    </row>
    <row r="55" customFormat="false" ht="15" hidden="false" customHeight="false" outlineLevel="0" collapsed="false">
      <c r="A55" s="27" t="s">
        <v>2325</v>
      </c>
      <c r="B55" s="63" t="s">
        <v>2399</v>
      </c>
      <c r="C55" s="66" t="n">
        <f aca="false">P55</f>
        <v>4232.04</v>
      </c>
      <c r="E55" s="115" t="n">
        <v>3782.97</v>
      </c>
      <c r="F55" s="115" t="n">
        <v>3790.97</v>
      </c>
      <c r="G55" s="115" t="n">
        <v>3888.99</v>
      </c>
      <c r="H55" s="115" t="n">
        <v>3897.02</v>
      </c>
      <c r="I55" s="115" t="n">
        <v>3995.08</v>
      </c>
      <c r="J55" s="115" t="n">
        <v>4003.15</v>
      </c>
      <c r="K55" s="115" t="n">
        <v>4101.25</v>
      </c>
      <c r="L55" s="115" t="n">
        <v>4109.37</v>
      </c>
      <c r="M55" s="115" t="n">
        <v>4207.5</v>
      </c>
      <c r="N55" s="115" t="n">
        <v>4215.66</v>
      </c>
      <c r="O55" s="115" t="n">
        <v>4223.84</v>
      </c>
      <c r="P55" s="115" t="n">
        <v>4232.04</v>
      </c>
    </row>
    <row r="56" customFormat="false" ht="15" hidden="false" customHeight="false" outlineLevel="0" collapsed="false">
      <c r="A56" s="27" t="s">
        <v>2327</v>
      </c>
      <c r="B56" s="63" t="s">
        <v>2399</v>
      </c>
      <c r="C56" s="66" t="n">
        <f aca="false">P56</f>
        <v>1309.07</v>
      </c>
      <c r="E56" s="115" t="n">
        <v>1175.25</v>
      </c>
      <c r="F56" s="115" t="n">
        <v>1176.5</v>
      </c>
      <c r="G56" s="115" t="n">
        <v>1207.75</v>
      </c>
      <c r="H56" s="115" t="n">
        <v>1209</v>
      </c>
      <c r="I56" s="115" t="n">
        <v>1240.25</v>
      </c>
      <c r="J56" s="115" t="n">
        <v>1241.51</v>
      </c>
      <c r="K56" s="115" t="n">
        <v>1272.76</v>
      </c>
      <c r="L56" s="115" t="n">
        <v>1274.02</v>
      </c>
      <c r="M56" s="115" t="n">
        <v>1305.28</v>
      </c>
      <c r="N56" s="115" t="n">
        <v>1306.54</v>
      </c>
      <c r="O56" s="115" t="n">
        <v>1307.8</v>
      </c>
      <c r="P56" s="115" t="n">
        <v>1309.07</v>
      </c>
    </row>
    <row r="57" customFormat="false" ht="15" hidden="false" customHeight="false" outlineLevel="0" collapsed="false">
      <c r="A57" s="27" t="s">
        <v>356</v>
      </c>
      <c r="B57" s="63" t="s">
        <v>2393</v>
      </c>
      <c r="C57" s="66" t="n">
        <f aca="false">SUM(E57:P57)</f>
        <v>2893810.66</v>
      </c>
      <c r="E57" s="115" t="n">
        <v>222445.72</v>
      </c>
      <c r="F57" s="115" t="n">
        <v>223317.05</v>
      </c>
      <c r="G57" s="115" t="n">
        <v>230406.65</v>
      </c>
      <c r="H57" s="115" t="n">
        <v>231456.2</v>
      </c>
      <c r="I57" s="115" t="n">
        <v>238170.63</v>
      </c>
      <c r="J57" s="115" t="n">
        <v>238670.01</v>
      </c>
      <c r="K57" s="115" t="n">
        <v>245331.68</v>
      </c>
      <c r="L57" s="115" t="n">
        <v>246681</v>
      </c>
      <c r="M57" s="115" t="n">
        <v>252991.67</v>
      </c>
      <c r="N57" s="115" t="n">
        <v>254085.79</v>
      </c>
      <c r="O57" s="115" t="n">
        <v>254835.21</v>
      </c>
      <c r="P57" s="115" t="n">
        <v>255419.05</v>
      </c>
    </row>
    <row r="58" customFormat="false" ht="15" hidden="false" customHeight="false" outlineLevel="0" collapsed="false">
      <c r="A58" s="27" t="s">
        <v>360</v>
      </c>
      <c r="B58" s="63" t="s">
        <v>2399</v>
      </c>
      <c r="C58" s="68" t="n">
        <f aca="false">P58</f>
        <v>34</v>
      </c>
      <c r="E58" s="136" t="n">
        <v>30</v>
      </c>
      <c r="F58" s="136" t="n">
        <v>30</v>
      </c>
      <c r="G58" s="136" t="n">
        <v>31</v>
      </c>
      <c r="H58" s="136" t="n">
        <v>31</v>
      </c>
      <c r="I58" s="136" t="n">
        <v>32</v>
      </c>
      <c r="J58" s="136" t="n">
        <v>32</v>
      </c>
      <c r="K58" s="136" t="n">
        <v>33</v>
      </c>
      <c r="L58" s="136" t="n">
        <v>33</v>
      </c>
      <c r="M58" s="136" t="n">
        <v>34</v>
      </c>
      <c r="N58" s="136" t="n">
        <v>34</v>
      </c>
      <c r="O58" s="136" t="n">
        <v>34</v>
      </c>
      <c r="P58" s="136" t="n">
        <v>34</v>
      </c>
    </row>
    <row r="59" customFormat="false" ht="15" hidden="false" customHeight="false" outlineLevel="0" collapsed="false">
      <c r="A59" s="27" t="s">
        <v>2123</v>
      </c>
      <c r="B59" s="63" t="s">
        <v>2393</v>
      </c>
      <c r="C59" s="66" t="n">
        <f aca="false">SUM(E59:P59)</f>
        <v>407400</v>
      </c>
      <c r="E59" s="115" t="n">
        <v>239400</v>
      </c>
      <c r="F59" s="115" t="n">
        <v>12600</v>
      </c>
      <c r="G59" s="115" t="n">
        <v>18900</v>
      </c>
      <c r="H59" s="115" t="n">
        <v>14700</v>
      </c>
      <c r="I59" s="115" t="n">
        <v>9450</v>
      </c>
      <c r="J59" s="115" t="n">
        <v>16800</v>
      </c>
      <c r="K59" s="115" t="n">
        <v>11550</v>
      </c>
      <c r="L59" s="115" t="n">
        <v>6300</v>
      </c>
      <c r="M59" s="115" t="n">
        <v>23100</v>
      </c>
      <c r="N59" s="115" t="n">
        <v>15750</v>
      </c>
      <c r="O59" s="115" t="n">
        <v>12600</v>
      </c>
      <c r="P59" s="115" t="n">
        <v>26250</v>
      </c>
    </row>
    <row r="60" customFormat="false" ht="15" hidden="false" customHeight="false" outlineLevel="0" collapsed="false">
      <c r="A60" s="27" t="s">
        <v>2400</v>
      </c>
      <c r="B60" s="63" t="s">
        <v>2393</v>
      </c>
      <c r="C60" s="66" t="n">
        <f aca="false">SUM(E60:P60)</f>
        <v>2384250</v>
      </c>
      <c r="E60" s="115" t="n">
        <v>168483.22</v>
      </c>
      <c r="F60" s="115" t="n">
        <v>177686.09</v>
      </c>
      <c r="G60" s="115" t="n">
        <v>206710.51</v>
      </c>
      <c r="H60" s="115" t="n">
        <v>189720.61</v>
      </c>
      <c r="I60" s="115" t="n">
        <v>198923.47</v>
      </c>
      <c r="J60" s="115" t="n">
        <v>232903.28</v>
      </c>
      <c r="K60" s="115" t="n">
        <v>185473.13</v>
      </c>
      <c r="L60" s="115" t="n">
        <v>121053.07</v>
      </c>
      <c r="M60" s="115" t="n">
        <v>236442.84</v>
      </c>
      <c r="N60" s="115" t="n">
        <v>255556.49</v>
      </c>
      <c r="O60" s="115" t="n">
        <v>213789.64</v>
      </c>
      <c r="P60" s="115" t="n">
        <v>197507.65</v>
      </c>
    </row>
    <row r="61" customFormat="false" ht="15" hidden="false" customHeight="false" outlineLevel="0" collapsed="false">
      <c r="A61" s="27" t="s">
        <v>2401</v>
      </c>
      <c r="B61" s="63" t="s">
        <v>2399</v>
      </c>
      <c r="C61" s="72" t="n">
        <f aca="false">AVERAGE(E61:P61)</f>
        <v>0.03</v>
      </c>
      <c r="E61" s="135" t="n">
        <v>0.03</v>
      </c>
      <c r="F61" s="135" t="n">
        <v>0.03</v>
      </c>
      <c r="G61" s="135" t="n">
        <v>0.03</v>
      </c>
      <c r="H61" s="135" t="n">
        <v>0.03</v>
      </c>
      <c r="I61" s="135" t="n">
        <v>0.03</v>
      </c>
      <c r="J61" s="135" t="n">
        <v>0.03</v>
      </c>
      <c r="K61" s="135" t="n">
        <v>0.03</v>
      </c>
      <c r="L61" s="135" t="n">
        <v>0.03</v>
      </c>
      <c r="M61" s="135" t="n">
        <v>0.03</v>
      </c>
      <c r="N61" s="135" t="n">
        <v>0.03</v>
      </c>
      <c r="O61" s="135" t="n">
        <v>0.03</v>
      </c>
      <c r="P61" s="135" t="n">
        <v>0.03</v>
      </c>
    </row>
    <row r="62" customFormat="false" ht="15" hidden="false" customHeight="false" outlineLevel="0" collapsed="false">
      <c r="A62" s="27" t="s">
        <v>368</v>
      </c>
      <c r="B62" s="63" t="s">
        <v>2399</v>
      </c>
      <c r="C62" s="65" t="n">
        <f aca="false">AVERAGE(E62:P62)</f>
        <v>0.815</v>
      </c>
      <c r="E62" s="137" t="n">
        <v>0.81</v>
      </c>
      <c r="F62" s="137" t="n">
        <v>0.81</v>
      </c>
      <c r="G62" s="137" t="n">
        <v>0.8</v>
      </c>
      <c r="H62" s="137" t="n">
        <v>0.8</v>
      </c>
      <c r="I62" s="137" t="n">
        <v>0.78</v>
      </c>
      <c r="J62" s="137" t="n">
        <v>0.78</v>
      </c>
      <c r="K62" s="137" t="n">
        <v>0.83</v>
      </c>
      <c r="L62" s="137" t="n">
        <v>0.87</v>
      </c>
      <c r="M62" s="137" t="n">
        <v>0.86</v>
      </c>
      <c r="N62" s="137" t="n">
        <v>0.82</v>
      </c>
      <c r="O62" s="137" t="n">
        <v>0.81</v>
      </c>
      <c r="P62" s="137" t="n">
        <v>0.81</v>
      </c>
    </row>
    <row r="63" customFormat="false" ht="15" hidden="false" customHeight="false" outlineLevel="0" collapsed="false">
      <c r="A63" s="27" t="s">
        <v>372</v>
      </c>
      <c r="B63" s="63" t="s">
        <v>2399</v>
      </c>
      <c r="C63" s="74" t="n">
        <f aca="false">P63</f>
        <v>43</v>
      </c>
      <c r="E63" s="166" t="n">
        <v>39</v>
      </c>
      <c r="F63" s="166" t="n">
        <v>39</v>
      </c>
      <c r="G63" s="166" t="n">
        <v>40</v>
      </c>
      <c r="H63" s="166" t="n">
        <v>41</v>
      </c>
      <c r="I63" s="166" t="n">
        <v>42</v>
      </c>
      <c r="J63" s="166" t="n">
        <v>43</v>
      </c>
      <c r="K63" s="166" t="n">
        <v>43</v>
      </c>
      <c r="L63" s="166" t="n">
        <v>43</v>
      </c>
      <c r="M63" s="166" t="n">
        <v>43</v>
      </c>
      <c r="N63" s="166" t="n">
        <v>43</v>
      </c>
      <c r="O63" s="166" t="n">
        <v>43</v>
      </c>
      <c r="P63" s="166" t="n">
        <v>43</v>
      </c>
    </row>
    <row r="64" customFormat="false" ht="15" hidden="false" customHeight="false" outlineLevel="0" collapsed="false">
      <c r="A64" s="27" t="s">
        <v>396</v>
      </c>
      <c r="B64" s="63" t="s">
        <v>2399</v>
      </c>
      <c r="C64" s="74" t="n">
        <f aca="false">P64</f>
        <v>74</v>
      </c>
      <c r="E64" s="166" t="n">
        <v>68</v>
      </c>
      <c r="F64" s="166" t="n">
        <v>69</v>
      </c>
      <c r="G64" s="166" t="n">
        <v>71</v>
      </c>
      <c r="H64" s="166" t="n">
        <v>72</v>
      </c>
      <c r="I64" s="166" t="n">
        <v>73</v>
      </c>
      <c r="J64" s="166" t="n">
        <v>74</v>
      </c>
      <c r="K64" s="166" t="n">
        <v>74</v>
      </c>
      <c r="L64" s="166" t="n">
        <v>74</v>
      </c>
      <c r="M64" s="166" t="n">
        <v>74</v>
      </c>
      <c r="N64" s="166" t="n">
        <v>74</v>
      </c>
      <c r="O64" s="166" t="n">
        <v>74</v>
      </c>
      <c r="P64" s="166" t="n">
        <v>74</v>
      </c>
    </row>
    <row r="65" customFormat="false" ht="15" hidden="false" customHeight="false" outlineLevel="0" collapsed="false">
      <c r="A65" s="27" t="s">
        <v>2402</v>
      </c>
      <c r="B65" s="63" t="s">
        <v>2393</v>
      </c>
      <c r="C65" s="74" t="n">
        <f aca="false">SUM(E65:P65)</f>
        <v>6</v>
      </c>
      <c r="E65" s="166" t="n">
        <v>0</v>
      </c>
      <c r="F65" s="166" t="n">
        <v>1</v>
      </c>
      <c r="G65" s="166" t="n">
        <v>2</v>
      </c>
      <c r="H65" s="166" t="n">
        <v>1</v>
      </c>
      <c r="I65" s="166" t="n">
        <v>1</v>
      </c>
      <c r="J65" s="166" t="n">
        <v>1</v>
      </c>
      <c r="K65" s="166" t="n">
        <v>0</v>
      </c>
      <c r="L65" s="166" t="n">
        <v>0</v>
      </c>
      <c r="M65" s="166" t="n">
        <v>0</v>
      </c>
      <c r="N65" s="166" t="n">
        <v>0</v>
      </c>
      <c r="O65" s="166" t="n">
        <v>0</v>
      </c>
      <c r="P65" s="166" t="n">
        <v>0</v>
      </c>
    </row>
    <row r="66" customFormat="false" ht="15" hidden="false" customHeight="false" outlineLevel="0" collapsed="false">
      <c r="A66" s="27" t="s">
        <v>385</v>
      </c>
      <c r="B66" s="63" t="s">
        <v>2403</v>
      </c>
      <c r="C66" s="66" t="n">
        <f aca="false">P66</f>
        <v>1112926.52</v>
      </c>
      <c r="E66" s="115" t="n">
        <v>1002187.93</v>
      </c>
      <c r="F66" s="115" t="n">
        <v>1052024.26</v>
      </c>
      <c r="G66" s="115" t="n">
        <v>1101379.16</v>
      </c>
      <c r="H66" s="115" t="n">
        <v>1164422.46</v>
      </c>
      <c r="I66" s="115" t="n">
        <v>853858.54</v>
      </c>
      <c r="J66" s="115" t="n">
        <v>831647.79</v>
      </c>
      <c r="K66" s="115" t="n">
        <v>829206.61</v>
      </c>
      <c r="L66" s="115" t="n">
        <v>877953.28</v>
      </c>
      <c r="M66" s="115" t="n">
        <v>895206.79</v>
      </c>
      <c r="N66" s="115" t="n">
        <v>995593.03</v>
      </c>
      <c r="O66" s="115" t="n">
        <v>1088170.79</v>
      </c>
      <c r="P66" s="115" t="n">
        <v>1112926.52</v>
      </c>
    </row>
    <row r="67" customFormat="false" ht="15" hidden="false" customHeight="false" outlineLevel="0" collapsed="false">
      <c r="A67" s="27" t="s">
        <v>389</v>
      </c>
      <c r="B67" s="63" t="s">
        <v>2403</v>
      </c>
      <c r="C67" s="66" t="n">
        <f aca="false">P67</f>
        <v>-212926.48</v>
      </c>
      <c r="E67" s="115" t="n">
        <v>264478.74</v>
      </c>
      <c r="F67" s="115" t="n">
        <v>181309.08</v>
      </c>
      <c r="G67" s="115" t="n">
        <v>98620.85</v>
      </c>
      <c r="H67" s="115" t="n">
        <v>2244.22</v>
      </c>
      <c r="I67" s="115" t="n">
        <v>279474.81</v>
      </c>
      <c r="J67" s="115" t="n">
        <v>268352.23</v>
      </c>
      <c r="K67" s="115" t="n">
        <v>237460.08</v>
      </c>
      <c r="L67" s="115" t="n">
        <v>155380.08</v>
      </c>
      <c r="M67" s="115" t="n">
        <v>104793.24</v>
      </c>
      <c r="N67" s="115" t="n">
        <v>-28926.33</v>
      </c>
      <c r="O67" s="115" t="n">
        <v>-154837.42</v>
      </c>
      <c r="P67" s="115" t="n">
        <v>-212926.48</v>
      </c>
    </row>
    <row r="68" customFormat="false" ht="15" hidden="false" customHeight="false" outlineLevel="0" collapsed="false">
      <c r="A68" s="27" t="s">
        <v>2404</v>
      </c>
      <c r="B68" s="63" t="s">
        <v>2399</v>
      </c>
      <c r="C68" s="121" t="n">
        <f aca="false">AVERAGE(E68:P68)</f>
        <v>1.15</v>
      </c>
      <c r="E68" s="151" t="n">
        <v>1.15</v>
      </c>
      <c r="F68" s="151" t="n">
        <v>1.15</v>
      </c>
      <c r="G68" s="151" t="n">
        <v>1.15</v>
      </c>
      <c r="H68" s="151" t="n">
        <v>1.15</v>
      </c>
      <c r="I68" s="151" t="n">
        <v>1.15</v>
      </c>
      <c r="J68" s="151" t="n">
        <v>1.15</v>
      </c>
      <c r="K68" s="151" t="n">
        <v>1.15</v>
      </c>
      <c r="L68" s="151" t="n">
        <v>1.15</v>
      </c>
      <c r="M68" s="151" t="n">
        <v>1.15</v>
      </c>
      <c r="N68" s="151" t="n">
        <v>1.15</v>
      </c>
      <c r="O68" s="151" t="n">
        <v>1.15</v>
      </c>
      <c r="P68" s="151" t="n">
        <v>1.15</v>
      </c>
    </row>
    <row r="69" customFormat="false" ht="15" hidden="false" customHeight="false" outlineLevel="0" collapsed="false">
      <c r="A69" s="24" t="s">
        <v>2405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2026-09-23T14:26:40Z</dcterms:created>
  <dc:creator>openpyxl</dc:creator>
  <dc:description/>
  <dc:language>en-US</dc:language>
  <cp:lastModifiedBy/>
  <dcterms:modified xsi:type="dcterms:W3CDTF">2026-09-23T17:26:46Z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